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PORT CI3 4GB\OneDrive\Desktop\MAPAS DE RIESGOS INSTITUCIONALES PARA ENVIAR A LILIANA PARA NUEVA PUBLICACPROCESOS MISIONALES\"/>
    </mc:Choice>
  </mc:AlternateContent>
  <xr:revisionPtr revIDLastSave="0" documentId="13_ncr:1_{243ECB07-DEB0-4D02-B77B-1F9B828AEDAB}" xr6:coauthVersionLast="47" xr6:coauthVersionMax="47" xr10:uidLastSave="{00000000-0000-0000-0000-000000000000}"/>
  <bookViews>
    <workbookView xWindow="-120" yWindow="-120" windowWidth="20730" windowHeight="1116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81029"/>
  <pivotCaches>
    <pivotCache cacheId="0" r:id="rId10"/>
  </pivotCaches>
</workbook>
</file>

<file path=xl/calcChain.xml><?xml version="1.0" encoding="utf-8"?>
<calcChain xmlns="http://schemas.openxmlformats.org/spreadsheetml/2006/main">
  <c r="T10" i="1" l="1"/>
  <c r="Q10" i="1"/>
  <c r="H10" i="1"/>
  <c r="I10" i="1" s="1"/>
  <c r="K62" i="1"/>
  <c r="K59" i="1"/>
  <c r="K57" i="1"/>
  <c r="K31" i="1"/>
  <c r="K69" i="1"/>
  <c r="K17" i="1"/>
  <c r="K29" i="1"/>
  <c r="K49" i="1"/>
  <c r="K60" i="1"/>
  <c r="K54" i="1"/>
  <c r="K30" i="1"/>
  <c r="K38" i="1"/>
  <c r="K48" i="1"/>
  <c r="K27" i="1"/>
  <c r="K35" i="1"/>
  <c r="K63" i="1"/>
  <c r="K47" i="1"/>
  <c r="K56" i="1"/>
  <c r="K39" i="1"/>
  <c r="K24" i="1"/>
  <c r="K65" i="1"/>
  <c r="K50" i="1"/>
  <c r="K66" i="1"/>
  <c r="K37" i="1"/>
  <c r="K41" i="1"/>
  <c r="K21" i="1"/>
  <c r="K19" i="1"/>
  <c r="K55" i="1"/>
  <c r="K18" i="1"/>
  <c r="K32" i="1"/>
  <c r="K26" i="1"/>
  <c r="K33" i="1"/>
  <c r="K42" i="1"/>
  <c r="K20" i="1"/>
  <c r="K36" i="1"/>
  <c r="K67" i="1"/>
  <c r="K23" i="1"/>
  <c r="K68" i="1"/>
  <c r="K53" i="1"/>
  <c r="K43" i="1"/>
  <c r="K25" i="1"/>
  <c r="K51" i="1"/>
  <c r="K61" i="1"/>
  <c r="K44" i="1"/>
  <c r="K45" i="1"/>
  <c r="F221" i="13" l="1"/>
  <c r="F211" i="13"/>
  <c r="F212" i="13"/>
  <c r="F213" i="13"/>
  <c r="F214" i="13"/>
  <c r="F215" i="13"/>
  <c r="F216" i="13"/>
  <c r="F217" i="13"/>
  <c r="F218" i="13"/>
  <c r="F219" i="13"/>
  <c r="F220" i="13"/>
  <c r="F210" i="13"/>
  <c r="K15" i="1"/>
  <c r="K14" i="1"/>
  <c r="K11" i="1"/>
  <c r="K12" i="1"/>
  <c r="B221" i="13" a="1"/>
  <c r="K13"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AB65" i="1" s="1"/>
  <c r="H64" i="1"/>
  <c r="I64" i="1" s="1"/>
  <c r="T63" i="1"/>
  <c r="Q63" i="1"/>
  <c r="T62" i="1"/>
  <c r="Q62" i="1"/>
  <c r="T61" i="1"/>
  <c r="Q61" i="1"/>
  <c r="T60" i="1"/>
  <c r="Q60" i="1"/>
  <c r="T59" i="1"/>
  <c r="Q59" i="1"/>
  <c r="T58" i="1"/>
  <c r="Q58" i="1"/>
  <c r="H58" i="1"/>
  <c r="I58" i="1" s="1"/>
  <c r="T57" i="1"/>
  <c r="Q57" i="1"/>
  <c r="T56" i="1"/>
  <c r="Q56" i="1"/>
  <c r="T55" i="1"/>
  <c r="Q55" i="1"/>
  <c r="T54" i="1"/>
  <c r="Q54" i="1"/>
  <c r="T53" i="1"/>
  <c r="Q53" i="1"/>
  <c r="AB53" i="1" s="1"/>
  <c r="T52" i="1"/>
  <c r="H52" i="1"/>
  <c r="I52" i="1" s="1"/>
  <c r="T51" i="1"/>
  <c r="Q51" i="1"/>
  <c r="T50" i="1"/>
  <c r="Q50" i="1"/>
  <c r="T49" i="1"/>
  <c r="Q49" i="1"/>
  <c r="T48" i="1"/>
  <c r="Q48" i="1"/>
  <c r="T47" i="1"/>
  <c r="T46" i="1"/>
  <c r="Q46" i="1"/>
  <c r="AB47" i="1" s="1"/>
  <c r="H46" i="1"/>
  <c r="I46" i="1" s="1"/>
  <c r="T45" i="1"/>
  <c r="Q45" i="1"/>
  <c r="T44" i="1"/>
  <c r="Q44" i="1"/>
  <c r="T43" i="1"/>
  <c r="Q43" i="1"/>
  <c r="T42" i="1"/>
  <c r="Q42" i="1"/>
  <c r="T41" i="1"/>
  <c r="T40" i="1"/>
  <c r="Q40" i="1"/>
  <c r="AB41" i="1" s="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AB29" i="1" s="1"/>
  <c r="H28" i="1"/>
  <c r="I28" i="1" s="1"/>
  <c r="T27" i="1"/>
  <c r="Q27" i="1"/>
  <c r="T26" i="1"/>
  <c r="Q26" i="1"/>
  <c r="T25" i="1"/>
  <c r="Q25" i="1"/>
  <c r="T24" i="1"/>
  <c r="Q24" i="1"/>
  <c r="T23" i="1"/>
  <c r="Q23" i="1"/>
  <c r="T22" i="1"/>
  <c r="Q22" i="1"/>
  <c r="AB23" i="1" s="1"/>
  <c r="H22" i="1"/>
  <c r="I22" i="1" s="1"/>
  <c r="H16" i="1"/>
  <c r="Q15" i="1"/>
  <c r="Q14" i="1"/>
  <c r="Q13" i="1"/>
  <c r="T21" i="1"/>
  <c r="Q21" i="1"/>
  <c r="T20" i="1"/>
  <c r="Q20" i="1"/>
  <c r="T19" i="1"/>
  <c r="Q19" i="1"/>
  <c r="T18" i="1"/>
  <c r="Q18" i="1"/>
  <c r="T17" i="1"/>
  <c r="Q17" i="1"/>
  <c r="T16" i="1"/>
  <c r="Q16" i="1"/>
  <c r="AB17" i="1" l="1"/>
  <c r="AB35" i="1"/>
  <c r="AB59" i="1"/>
  <c r="AB50" i="1"/>
  <c r="AA50" i="1" s="1"/>
  <c r="AB51" i="1"/>
  <c r="AA51" i="1" s="1"/>
  <c r="I16" i="1"/>
  <c r="X64" i="1"/>
  <c r="X58" i="1"/>
  <c r="X52" i="1"/>
  <c r="X46" i="1"/>
  <c r="X50" i="1"/>
  <c r="X51" i="1"/>
  <c r="X40" i="1"/>
  <c r="X34" i="1"/>
  <c r="X28" i="1"/>
  <c r="X22" i="1"/>
  <c r="X16"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37" i="1"/>
  <c r="Y49" i="1"/>
  <c r="Z49" i="1"/>
  <c r="X26" i="1"/>
  <c r="Z67" i="1"/>
  <c r="Y67" i="1"/>
  <c r="Y31" i="1"/>
  <c r="Z31" i="1"/>
  <c r="Z32" i="1"/>
  <c r="X33" i="1" s="1"/>
  <c r="Z18" i="1"/>
  <c r="X19" i="1" s="1"/>
  <c r="Y19" i="1" s="1"/>
  <c r="Q12" i="1"/>
  <c r="Y63" i="1" l="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AB11" i="1" s="1"/>
  <c r="Z10" i="1" l="1"/>
  <c r="X11" i="1" s="1"/>
  <c r="Y11" i="1" l="1"/>
  <c r="Z11" i="1" l="1"/>
  <c r="X12" i="1" s="1"/>
  <c r="Y12" i="1" s="1"/>
  <c r="Z12" i="1" l="1"/>
  <c r="X13" i="1" s="1"/>
  <c r="Z13" i="1" l="1"/>
  <c r="X14" i="1" s="1"/>
  <c r="Y14" i="1" l="1"/>
  <c r="Z14" i="1"/>
  <c r="X15" i="1" s="1"/>
  <c r="Y13" i="1"/>
  <c r="Y15" i="1" l="1"/>
  <c r="Z15" i="1"/>
  <c r="AB28" i="1" l="1"/>
  <c r="AA28" i="1" s="1"/>
  <c r="AB66" i="1"/>
  <c r="AB58" i="1"/>
  <c r="AB40" i="1"/>
  <c r="AA40" i="1" s="1"/>
  <c r="AB52" i="1"/>
  <c r="AA52" i="1" s="1"/>
  <c r="AB46" i="1"/>
  <c r="AA46" i="1" s="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A65" i="1"/>
  <c r="AC28"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12" i="1"/>
  <c r="AA11"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40" i="1" l="1"/>
  <c r="L40" i="1" s="1"/>
  <c r="K10" i="1"/>
  <c r="L10" i="1" s="1"/>
  <c r="K28" i="1"/>
  <c r="L28" i="1" s="1"/>
  <c r="K22" i="1"/>
  <c r="L22" i="1" s="1"/>
  <c r="K52" i="1"/>
  <c r="L52" i="1" s="1"/>
  <c r="K46" i="1"/>
  <c r="L46" i="1" s="1"/>
  <c r="K34" i="1"/>
  <c r="L34" i="1" s="1"/>
  <c r="K16" i="1"/>
  <c r="L16" i="1" s="1"/>
  <c r="K64" i="1"/>
  <c r="L64" i="1" s="1"/>
  <c r="K58" i="1"/>
  <c r="L58" i="1" s="1"/>
  <c r="X6" i="18" l="1"/>
  <c r="AJ30" i="18"/>
  <c r="R22" i="18"/>
  <c r="L6" i="18"/>
  <c r="R30" i="18"/>
  <c r="X22" i="18"/>
  <c r="X38" i="18"/>
  <c r="AD38" i="18"/>
  <c r="N16" i="1"/>
  <c r="AD22" i="18"/>
  <c r="M16" i="1"/>
  <c r="AB16" i="1" s="1"/>
  <c r="AA16"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34" i="1"/>
  <c r="L32" i="18"/>
  <c r="X8" i="18"/>
  <c r="X24" i="18"/>
  <c r="AJ8" i="18"/>
  <c r="M34" i="1"/>
  <c r="R40" i="18"/>
  <c r="L40" i="18"/>
  <c r="X16" i="18"/>
  <c r="L24" i="18"/>
  <c r="AJ24" i="18"/>
  <c r="X32" i="18"/>
  <c r="AJ40" i="18"/>
  <c r="R16" i="18"/>
  <c r="AD40" i="18"/>
  <c r="AD32" i="18"/>
  <c r="AD16" i="18"/>
  <c r="M46" i="1"/>
  <c r="J42" i="18"/>
  <c r="P34" i="18"/>
  <c r="AB18" i="18"/>
  <c r="AB42" i="18"/>
  <c r="AH34" i="18"/>
  <c r="P10" i="18"/>
  <c r="V34" i="18"/>
  <c r="P42" i="18"/>
  <c r="V42" i="18"/>
  <c r="AH42" i="18"/>
  <c r="AB26" i="18"/>
  <c r="AH26" i="18"/>
  <c r="V26" i="18"/>
  <c r="AB34" i="18"/>
  <c r="V10" i="18"/>
  <c r="AH18" i="18"/>
  <c r="J34" i="18"/>
  <c r="J10" i="18"/>
  <c r="AB10" i="18"/>
  <c r="J18" i="18"/>
  <c r="N46" i="1"/>
  <c r="P26" i="18"/>
  <c r="J26" i="18"/>
  <c r="AH10" i="18"/>
  <c r="P18" i="18"/>
  <c r="V18" i="18"/>
  <c r="X42" i="18"/>
  <c r="AD34" i="18"/>
  <c r="AD10" i="18"/>
  <c r="AD26" i="18"/>
  <c r="L10" i="18"/>
  <c r="L42" i="18"/>
  <c r="L26" i="18"/>
  <c r="X18" i="18"/>
  <c r="X34" i="18"/>
  <c r="X10" i="18"/>
  <c r="R18" i="18"/>
  <c r="AJ10" i="18"/>
  <c r="AD42" i="18"/>
  <c r="AJ34" i="18"/>
  <c r="R26" i="18"/>
  <c r="M52" i="1"/>
  <c r="L18" i="18"/>
  <c r="AJ26" i="18"/>
  <c r="AD18" i="18"/>
  <c r="R34" i="18"/>
  <c r="L34" i="18"/>
  <c r="AJ42" i="18"/>
  <c r="R10" i="18"/>
  <c r="R42" i="18"/>
  <c r="X26" i="18"/>
  <c r="AJ18" i="18"/>
  <c r="N52" i="1"/>
  <c r="T14" i="18"/>
  <c r="AL38" i="18"/>
  <c r="N14" i="18"/>
  <c r="Z6" i="18"/>
  <c r="T38" i="18"/>
  <c r="T22" i="18"/>
  <c r="AL14" i="18"/>
  <c r="N22" i="18"/>
  <c r="N22" i="1"/>
  <c r="AF22" i="18"/>
  <c r="N6" i="18"/>
  <c r="AF6" i="18"/>
  <c r="AF38" i="18"/>
  <c r="M22" i="1"/>
  <c r="AB22" i="1" s="1"/>
  <c r="AA22" i="1" s="1"/>
  <c r="N38" i="18"/>
  <c r="AL30" i="18"/>
  <c r="AL22" i="18"/>
  <c r="T6" i="18"/>
  <c r="AF14" i="18"/>
  <c r="AF30" i="18"/>
  <c r="Z22" i="18"/>
  <c r="T30" i="18"/>
  <c r="Z30" i="18"/>
  <c r="AL6" i="18"/>
  <c r="Z14" i="18"/>
  <c r="Z38" i="18"/>
  <c r="N30" i="18"/>
  <c r="J40" i="18"/>
  <c r="AB40" i="18"/>
  <c r="AH32" i="18"/>
  <c r="AB24" i="18"/>
  <c r="V16" i="18"/>
  <c r="M28" i="1"/>
  <c r="J16" i="18"/>
  <c r="P32" i="18"/>
  <c r="V24" i="18"/>
  <c r="P24" i="18"/>
  <c r="V40" i="18"/>
  <c r="P16" i="18"/>
  <c r="P40" i="18"/>
  <c r="V32" i="18"/>
  <c r="AH16" i="18"/>
  <c r="AB16" i="18"/>
  <c r="V8" i="18"/>
  <c r="AH24" i="18"/>
  <c r="AH8" i="18"/>
  <c r="AH40" i="18"/>
  <c r="J8" i="18"/>
  <c r="AB32" i="18"/>
  <c r="AB8" i="18"/>
  <c r="J24" i="18"/>
  <c r="J32" i="18"/>
  <c r="P8" i="18"/>
  <c r="N28" i="1"/>
  <c r="Z42" i="18"/>
  <c r="T18" i="18"/>
  <c r="AF34" i="18"/>
  <c r="AF42" i="18"/>
  <c r="N42" i="18"/>
  <c r="Z18" i="18"/>
  <c r="AL10" i="18"/>
  <c r="AL26" i="18"/>
  <c r="AF26" i="18"/>
  <c r="Z10" i="18"/>
  <c r="N18" i="18"/>
  <c r="T26" i="18"/>
  <c r="AF10" i="18"/>
  <c r="T34" i="18"/>
  <c r="N26" i="18"/>
  <c r="AL18" i="18"/>
  <c r="N10" i="18"/>
  <c r="AF18" i="18"/>
  <c r="Z26" i="18"/>
  <c r="AL34" i="18"/>
  <c r="M58" i="1"/>
  <c r="Z34" i="18"/>
  <c r="T10" i="18"/>
  <c r="N58" i="1"/>
  <c r="AL42" i="18"/>
  <c r="N34" i="18"/>
  <c r="T42" i="18"/>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H12" i="18"/>
  <c r="J20" i="18"/>
  <c r="J44" i="18"/>
  <c r="AB28" i="18"/>
  <c r="P28" i="18"/>
  <c r="N64" i="1"/>
  <c r="P12" i="18"/>
  <c r="AH20" i="18"/>
  <c r="P44" i="18"/>
  <c r="AB12" i="18"/>
  <c r="P20" i="18"/>
  <c r="J36" i="18"/>
  <c r="P36" i="18"/>
  <c r="AB44" i="18"/>
  <c r="V44" i="18"/>
  <c r="J28" i="18"/>
  <c r="AH36" i="18"/>
  <c r="V12" i="18"/>
  <c r="V28" i="18"/>
  <c r="AH44" i="18"/>
  <c r="AB20" i="18"/>
  <c r="AB36" i="18"/>
  <c r="AH28" i="18"/>
  <c r="V36" i="18"/>
  <c r="V20" i="18"/>
  <c r="M64" i="1"/>
  <c r="AB64" i="1" s="1"/>
  <c r="AA64" i="1" s="1"/>
  <c r="J12" i="18"/>
  <c r="AF24" i="18"/>
  <c r="AF32" i="18"/>
  <c r="T40" i="18"/>
  <c r="M40" i="1"/>
  <c r="Z40" i="18"/>
  <c r="AL8" i="18"/>
  <c r="AF8" i="18"/>
  <c r="T8" i="18"/>
  <c r="Z16" i="18"/>
  <c r="T24" i="18"/>
  <c r="AL24" i="18"/>
  <c r="Z32" i="18"/>
  <c r="N32" i="18"/>
  <c r="N16" i="18"/>
  <c r="Z8" i="18"/>
  <c r="AL40" i="18"/>
  <c r="N8" i="18"/>
  <c r="N24" i="18"/>
  <c r="T32" i="18"/>
  <c r="T16" i="18"/>
  <c r="AF40" i="18"/>
  <c r="AF16" i="18"/>
  <c r="AL32" i="18"/>
  <c r="N40" i="18"/>
  <c r="Z24" i="18"/>
  <c r="AL16" i="18"/>
  <c r="N40" i="1"/>
  <c r="AC22" i="1" l="1"/>
  <c r="P38" i="19"/>
  <c r="AH38" i="19"/>
  <c r="P48" i="19"/>
  <c r="AB18" i="19"/>
  <c r="J8" i="19"/>
  <c r="J18" i="19"/>
  <c r="AH8" i="19"/>
  <c r="V8" i="19"/>
  <c r="AH48" i="19"/>
  <c r="AH18" i="19"/>
  <c r="V18" i="19"/>
  <c r="J38" i="19"/>
  <c r="P18" i="19"/>
  <c r="J28" i="19"/>
  <c r="J48" i="19"/>
  <c r="V28" i="19"/>
  <c r="AB8" i="19"/>
  <c r="P28" i="19"/>
  <c r="AB28" i="19"/>
  <c r="V38" i="19"/>
  <c r="AH28" i="19"/>
  <c r="AB38" i="19"/>
  <c r="V48" i="19"/>
  <c r="P8" i="19"/>
  <c r="AB48" i="19"/>
  <c r="AH7" i="19"/>
  <c r="P47" i="19"/>
  <c r="J37" i="19"/>
  <c r="V7" i="19"/>
  <c r="P17" i="19"/>
  <c r="AB17" i="19"/>
  <c r="P7" i="19"/>
  <c r="J17" i="19"/>
  <c r="AB37" i="19"/>
  <c r="P27" i="19"/>
  <c r="AH47" i="19"/>
  <c r="V37" i="19"/>
  <c r="AB47" i="19"/>
  <c r="V47" i="19"/>
  <c r="AB7" i="19"/>
  <c r="P37" i="19"/>
  <c r="AH17" i="19"/>
  <c r="J47" i="19"/>
  <c r="AB27" i="19"/>
  <c r="AC16" i="1"/>
  <c r="AH37" i="19"/>
  <c r="V17" i="19"/>
  <c r="J7" i="19"/>
  <c r="AH27" i="19"/>
  <c r="J27" i="19"/>
  <c r="V27"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64" i="1"/>
  <c r="AB25" i="19"/>
  <c r="AH35" i="19"/>
  <c r="P55" i="19"/>
  <c r="J45" i="19"/>
  <c r="P25" i="19"/>
  <c r="P35" i="19"/>
  <c r="V55"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<sst xmlns="http://schemas.openxmlformats.org/spreadsheetml/2006/main" count="365" uniqueCount="240">
  <si>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</si>
  <si>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</si>
  <si>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</si>
  <si>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</si>
  <si>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</si>
  <si>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</si>
  <si>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</si>
  <si>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</si>
  <si>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</si>
  <si>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</si>
  <si>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</si>
  <si>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</si>
  <si>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</si>
  <si>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</si>
  <si>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</si>
  <si>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</si>
  <si>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</si>
  <si>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</si>
  <si>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</si>
  <si>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</si>
  <si>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</si>
  <si>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</si>
  <si>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</si>
  <si>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</si>
  <si>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</si>
  <si>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</si>
  <si>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</si>
  <si>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</si>
  <si>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</si>
  <si>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</si>
  <si>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</si>
  <si>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</si>
  <si>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</si>
  <si>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</si>
  <si>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</si>
  <si>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</si>
  <si>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</si>
  <si>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</si>
  <si>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</si>
  <si>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</si>
  <si>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</si>
  <si>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</si>
  <si>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</si>
  <si>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</si>
  <si>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</si>
  <si>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</si>
  <si>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</si>
  <si>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</si>
  <si>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</si>
  <si>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</si>
  <si>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</si>
  <si>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</si>
  <si>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</si>
  <si>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</si>
  <si>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</si>
  <si>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</si>
  <si>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</si>
  <si>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</si>
  <si>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</si>
  <si>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</si>
  <si>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</si>
  <si>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</si>
  <si>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</si>
  <si>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</si>
  <si>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</si>
  <si>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</si>
  <si>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</si>
  <si>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</si>
  <si>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</si>
  <si>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</si>
  <si>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</si>
  <si>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</si>
  <si>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</si>
  <si>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</si>
  <si>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</si>
  <si>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</si>
  <si>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</si>
  <si>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</si>
  <si>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</si>
  <si>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</si>
  <si>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</si>
  <si>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</si>
  <si>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</si>
  <si>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</si>
  <si>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</si>
  <si>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</si>
  <si>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</si>
  <si>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</si>
  <si>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</si>
  <si>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</si>
  <si>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</si>
  <si>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</si>
  <si>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</si>
  <si>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</si>
  <si>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</si>
  <si>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</si>
  <si>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</si>
  <si>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</si>
  <si>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</si>
  <si>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</si>
  <si>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</si>
  <si>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</si>
  <si>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</si>
  <si>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</si>
  <si>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</si>
  <si>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</si>
  <si>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</si>
  <si>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</si>
  <si>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</si>
  <si>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</si>
  <si>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</si>
  <si>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</si>
  <si>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</si>
  <si>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</si>
  <si>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</si>
  <si>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</si>
  <si>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</si>
  <si>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</si>
  <si>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</si>
  <si>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</si>
  <si>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</si>
  <si>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</si>
  <si>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</si>
  <si>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</si>
  <si>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</si>
  <si>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</si>
  <si>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</si>
  <si>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</si>
  <si>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</si>
  <si>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</si>
  <si>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</si>
  <si>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</si>
  <si>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</si>
  <si>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</si>
  <si>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</si>
  <si>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</si>
  <si>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</si>
  <si>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</si>
  <si>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</si>
  <si>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</si>
  <si>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</si>
  <si>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</si>
  <si>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</si>
  <si>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</si>
  <si>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</si>
  <si>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</si>
  <si>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</si>
  <si>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</si>
  <si>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</si>
  <si>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</si>
  <si>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</si>
  <si>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</si>
  <si>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</si>
  <si>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</si>
  <si>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</si>
  <si>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</si>
  <si>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</si>
  <si>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</si>
  <si>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</si>
  <si>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</si>
  <si>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</si>
  <si>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</si>
  <si>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</si>
  <si>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</si>
  <si>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</si>
  <si>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</si>
  <si>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</si>
  <si>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</si>
  <si>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</si>
  <si>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</si>
  <si>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</si>
  <si>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</si>
  <si>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</si>
  <si>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</si>
  <si>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</si>
  <si>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</si>
  <si>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</si>
  <si>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</si>
  <si>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</si>
  <si>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</si>
  <si>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</si>
  <si>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</si>
  <si>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</si>
  <si>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</si>
  <si>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</si>
  <si>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</si>
  <si>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</si>
  <si>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</si>
  <si>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</si>
  <si>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</si>
  <si>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</si>
  <si>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</si>
  <si>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</si>
  <si>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</si>
  <si>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</si>
  <si>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</si>
  <si>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</si>
  <si>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</si>
  <si>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</si>
  <si>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</si>
  <si>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</si>
  <si>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</si>
  <si>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</si>
  <si>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</si>
  <si>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</si>
  <si>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</si>
  <si>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</si>
  <si>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</si>
  <si>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</si>
  <si>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</si>
  <si>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</si>
  <si>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</si>
  <si>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</si>
  <si>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</si>
  <si>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ATENCIÓN AL CIUDADANO</t>
  </si>
  <si>
    <t>Brindar atención con oportunidad y calidad desarrollando políticas de servicio que permitan satisfacer la demanda de los ciudadanos en trámites, servicios, Peticiones, Quejas, Reclamos y Sugerencias a través de los canales telefónico, virtual y presencial, verificando la percepción de la satisfacción ciudadana frente a la prestación de los mismos.</t>
  </si>
  <si>
    <t>Inicia con la planeación de las actividades y culmina con el seguimiento y evaluación del proceso</t>
  </si>
  <si>
    <t>Enero 16 de 2023</t>
  </si>
  <si>
    <t>Febrero a Diciembre de 2022</t>
  </si>
  <si>
    <t xml:space="preserve">Se elabora semestralmente el informe de PQRS con base en  los cuadros control que tiene la herramienta en excel con que cuenta la EDAT para radicación y envío de correspondencia. No se cuenta con un software de correspondencia que permita tener un control efectivo sobre la correspondencia. Se hace necesaria la inversión en el software.  </t>
  </si>
  <si>
    <t>Secretaria General y Juridica / Secretaria Ejecutiva</t>
  </si>
  <si>
    <t>Falencia en el  control de la correspondencia recibida y enviada.</t>
  </si>
  <si>
    <t xml:space="preserve">Carencia de un sistema de información automatizado que lleve el control del radicado de la correspondencia recibida y enviada, así como el control de términos.        </t>
  </si>
  <si>
    <t>Posible perdida de la trazabilidad de la correspondencia recibida y enviada, generando  incumplimientos y posibles sanciones a la Entidad.</t>
  </si>
  <si>
    <t>Se cuenta con una hoja de cálculo en excel, se lleva control manual de cada pqrs y de los tiempos en particular de derechos de petición o tutelas.</t>
  </si>
  <si>
    <t>Seguimiento aleatorio  a la radicación y respuesta de  oficios por parte de la Dirección de Control Interno, adicionalmente la elaboración del informe de PQRS con periodicidad semestral don de se analiza el comportamiento de los mismos teniendo en cuenta principalmente la oportunidad y la calidad de las respuestas</t>
  </si>
  <si>
    <t xml:space="preserve">Equipos tecnologicos absoletos </t>
  </si>
  <si>
    <t>Atencion inoportuna de procesos inherentes a la Entidad a causa de no contar con los equipos necesarios  y de calidad para desarrollar las funciones de cada cargo</t>
  </si>
  <si>
    <t>Mantenimiento preventivo de equipos de computo, impresoras, escaner y demas elementos tecnologicos para contar con la infraestructura necesaria para el desarrollo de las actividades diarias</t>
  </si>
  <si>
    <t xml:space="preserve">Revisión aleatoria de equipos como actividad preventiva , evitando el daño de los mismos </t>
  </si>
  <si>
    <t>Secretaria General y Juridica  / Apoyo ingeniero de sistemas</t>
  </si>
  <si>
    <t xml:space="preserve">Se precisa el mantenimiento aleatorio de equipos de computo, sin embargo se requiere fortalecer el proceso  y realizar inversión  para adquisición de equipos los cuales pueden ser compartidos entre funcionarios y/o areas. </t>
  </si>
  <si>
    <t xml:space="preserve">Lentitud en  los procesos a causa de la baja capacidad o falta de mantenimiento  en algunos equipos
No se cuenta con los equipos tecnológicos necesarios para atender en el área (impresora, scanner)                    </t>
  </si>
  <si>
    <t xml:space="preserve"> Áreas físicas que no están totalmente acondicionadas para la atención a los diversos grupos poblacionales (discapacitados físicos, visuales, auditivos) tanto en recepción como servicios adicionales como baños.                             . </t>
  </si>
  <si>
    <t>Imposibilidad de atender en las instalaciones de la Entidad  a personas discapacitadas</t>
  </si>
  <si>
    <t>La Entidad se puede ver abocada a una demanda y/o sancion por no contar con el espacio fisico para atención de personas discapacitadas</t>
  </si>
  <si>
    <t>Adaptacion de las instaciones con elementos adecuados para personas en situación de discapacidad</t>
  </si>
  <si>
    <t>Adaptacion de señalizacion para personas con discapacidad</t>
  </si>
  <si>
    <t xml:space="preserve">Secretaria General y Juridica  </t>
  </si>
  <si>
    <t>No se cuenta con la infraestructura necesaria para la atención de personas con discapacidad, se debe fortalecer el proceso de adaptación  de la infraestructura fisica de la oficina para atención de este tipo de 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</si>
</sst>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9" fontId="1" fillId="0" borderId="4" xfId="0" applyNumberFormat="1" applyFont="1" applyFill="1" applyBorder="1" applyAlignment="1" applyProtection="1">
      <alignment horizontal="center" vertical="top"/>
      <protection hidden="1"/>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protection hidden="1"/>
    </xf>
    <xf numFmtId="0" fontId="4" fillId="0" borderId="2" xfId="0" applyFont="1" applyFill="1" applyBorder="1" applyAlignment="1" applyProtection="1">
      <alignment horizontal="center" vertical="center" textRotation="90" wrapText="1"/>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9" fontId="1" fillId="0" borderId="4" xfId="0" applyNumberFormat="1" applyFont="1" applyFill="1" applyBorder="1" applyAlignment="1" applyProtection="1">
      <alignment horizontal="center" vertical="center"/>
      <protection hidden="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Border="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19" zoomScale="110" zoomScaleNormal="110" workbookViewId="0">
      <selection activeCell="B4" sqref="B4:H5"/>
    </sheetView>
  </sheetViews>
  <sheetFormatPr baseColWidth="10" defaultRowHeight="15" x14ac:dyDescent="0.25"/>
  <cols>
    <col min="1" max="1" width="2.85546875" style="84" customWidth="1"/>
    <col min="2" max="3" width="24.7109375" style="84" customWidth="1"/>
    <col min="4" max="4" width="16" style="84" customWidth="1"/>
    <col min="5" max="5" width="24.7109375" style="84" customWidth="1"/>
    <col min="6" max="6" width="27.7109375" style="84" customWidth="1"/>
    <col min="7" max="8" width="24.7109375" style="84" customWidth="1"/>
    <col min="9" max="16384" width="11.42578125" style="84"/>
  </cols>
  <sheetData>
    <row r="1" spans="2:8" ht="15.75" thickBot="1" x14ac:dyDescent="0.3"/>
    <row r="2" spans="2:8" ht="18" x14ac:dyDescent="0.25">
      <c r="B2" s="170" t="s">
        <v>166</v>
      </c>
      <c r="C2" s="171"/>
      <c r="D2" s="171"/>
      <c r="E2" s="171"/>
      <c r="F2" s="171"/>
      <c r="G2" s="171"/>
      <c r="H2" s="172"/>
    </row>
    <row r="3" spans="2:8" x14ac:dyDescent="0.25">
      <c r="B3" s="85"/>
      <c r="C3" s="86"/>
      <c r="D3" s="86"/>
      <c r="E3" s="86"/>
      <c r="F3" s="86"/>
      <c r="G3" s="86"/>
      <c r="H3" s="87"/>
    </row>
    <row r="4" spans="2:8" ht="63" customHeight="1" x14ac:dyDescent="0.25">
      <c r="B4" s="173" t="s">
        <v>209</v>
      </c>
      <c r="C4" s="174"/>
      <c r="D4" s="174"/>
      <c r="E4" s="174"/>
      <c r="F4" s="174"/>
      <c r="G4" s="174"/>
      <c r="H4" s="175"/>
    </row>
    <row r="5" spans="2:8" ht="63" customHeight="1" x14ac:dyDescent="0.25">
      <c r="B5" s="176"/>
      <c r="C5" s="177"/>
      <c r="D5" s="177"/>
      <c r="E5" s="177"/>
      <c r="F5" s="177"/>
      <c r="G5" s="177"/>
      <c r="H5" s="178"/>
    </row>
    <row r="6" spans="2:8" ht="16.5" x14ac:dyDescent="0.25">
      <c r="B6" s="179" t="s">
        <v>164</v>
      </c>
      <c r="C6" s="180"/>
      <c r="D6" s="180"/>
      <c r="E6" s="180"/>
      <c r="F6" s="180"/>
      <c r="G6" s="180"/>
      <c r="H6" s="181"/>
    </row>
    <row r="7" spans="2:8" ht="95.25" customHeight="1" x14ac:dyDescent="0.25">
      <c r="B7" s="189" t="s">
        <v>169</v>
      </c>
      <c r="C7" s="190"/>
      <c r="D7" s="190"/>
      <c r="E7" s="190"/>
      <c r="F7" s="190"/>
      <c r="G7" s="190"/>
      <c r="H7" s="191"/>
    </row>
    <row r="8" spans="2:8" ht="16.5" x14ac:dyDescent="0.25">
      <c r="B8" s="122"/>
      <c r="C8" s="123"/>
      <c r="D8" s="123"/>
      <c r="E8" s="123"/>
      <c r="F8" s="123"/>
      <c r="G8" s="123"/>
      <c r="H8" s="124"/>
    </row>
    <row r="9" spans="2:8" ht="16.5" customHeight="1" x14ac:dyDescent="0.25">
      <c r="B9" s="182" t="s">
        <v>202</v>
      </c>
      <c r="C9" s="183"/>
      <c r="D9" s="183"/>
      <c r="E9" s="183"/>
      <c r="F9" s="183"/>
      <c r="G9" s="183"/>
      <c r="H9" s="184"/>
    </row>
    <row r="10" spans="2:8" ht="44.25" customHeight="1" x14ac:dyDescent="0.25">
      <c r="B10" s="182"/>
      <c r="C10" s="183"/>
      <c r="D10" s="183"/>
      <c r="E10" s="183"/>
      <c r="F10" s="183"/>
      <c r="G10" s="183"/>
      <c r="H10" s="184"/>
    </row>
    <row r="11" spans="2:8" ht="15.75" thickBot="1" x14ac:dyDescent="0.3">
      <c r="B11" s="110"/>
      <c r="C11" s="113"/>
      <c r="D11" s="118"/>
      <c r="E11" s="119"/>
      <c r="F11" s="119"/>
      <c r="G11" s="120"/>
      <c r="H11" s="121"/>
    </row>
    <row r="12" spans="2:8" ht="15.75" thickTop="1" x14ac:dyDescent="0.25">
      <c r="B12" s="110"/>
      <c r="C12" s="185" t="s">
        <v>165</v>
      </c>
      <c r="D12" s="186"/>
      <c r="E12" s="187" t="s">
        <v>203</v>
      </c>
      <c r="F12" s="188"/>
      <c r="G12" s="113"/>
      <c r="H12" s="114"/>
    </row>
    <row r="13" spans="2:8" ht="35.25" customHeight="1" x14ac:dyDescent="0.25">
      <c r="B13" s="110"/>
      <c r="C13" s="157" t="s">
        <v>196</v>
      </c>
      <c r="D13" s="158"/>
      <c r="E13" s="159" t="s">
        <v>201</v>
      </c>
      <c r="F13" s="160"/>
      <c r="G13" s="113"/>
      <c r="H13" s="114"/>
    </row>
    <row r="14" spans="2:8" ht="17.25" customHeight="1" x14ac:dyDescent="0.25">
      <c r="B14" s="110"/>
      <c r="C14" s="157" t="s">
        <v>197</v>
      </c>
      <c r="D14" s="158"/>
      <c r="E14" s="159" t="s">
        <v>199</v>
      </c>
      <c r="F14" s="160"/>
      <c r="G14" s="113"/>
      <c r="H14" s="114"/>
    </row>
    <row r="15" spans="2:8" ht="19.5" customHeight="1" x14ac:dyDescent="0.25">
      <c r="B15" s="110"/>
      <c r="C15" s="157" t="s">
        <v>198</v>
      </c>
      <c r="D15" s="158"/>
      <c r="E15" s="159" t="s">
        <v>200</v>
      </c>
      <c r="F15" s="160"/>
      <c r="G15" s="113"/>
      <c r="H15" s="114"/>
    </row>
    <row r="16" spans="2:8" ht="69.75" customHeight="1" x14ac:dyDescent="0.25">
      <c r="B16" s="110"/>
      <c r="C16" s="157" t="s">
        <v>167</v>
      </c>
      <c r="D16" s="158"/>
      <c r="E16" s="159" t="s">
        <v>168</v>
      </c>
      <c r="F16" s="160"/>
      <c r="G16" s="113"/>
      <c r="H16" s="114"/>
    </row>
    <row r="17" spans="2:8" ht="34.5" customHeight="1" x14ac:dyDescent="0.25">
      <c r="B17" s="110"/>
      <c r="C17" s="161" t="s">
        <v>2</v>
      </c>
      <c r="D17" s="162"/>
      <c r="E17" s="153" t="s">
        <v>210</v>
      </c>
      <c r="F17" s="154"/>
      <c r="G17" s="113"/>
      <c r="H17" s="114"/>
    </row>
    <row r="18" spans="2:8" ht="27.75" customHeight="1" x14ac:dyDescent="0.25">
      <c r="B18" s="110"/>
      <c r="C18" s="161" t="s">
        <v>3</v>
      </c>
      <c r="D18" s="162"/>
      <c r="E18" s="153" t="s">
        <v>211</v>
      </c>
      <c r="F18" s="154"/>
      <c r="G18" s="113"/>
      <c r="H18" s="114"/>
    </row>
    <row r="19" spans="2:8" ht="28.5" customHeight="1" x14ac:dyDescent="0.25">
      <c r="B19" s="110"/>
      <c r="C19" s="161" t="s">
        <v>42</v>
      </c>
      <c r="D19" s="162"/>
      <c r="E19" s="153" t="s">
        <v>212</v>
      </c>
      <c r="F19" s="154"/>
      <c r="G19" s="113"/>
      <c r="H19" s="114"/>
    </row>
    <row r="20" spans="2:8" ht="72.75" customHeight="1" x14ac:dyDescent="0.25">
      <c r="B20" s="110"/>
      <c r="C20" s="161" t="s">
        <v>1</v>
      </c>
      <c r="D20" s="162"/>
      <c r="E20" s="153" t="s">
        <v>213</v>
      </c>
      <c r="F20" s="154"/>
      <c r="G20" s="113"/>
      <c r="H20" s="114"/>
    </row>
    <row r="21" spans="2:8" ht="64.5" customHeight="1" x14ac:dyDescent="0.25">
      <c r="B21" s="110"/>
      <c r="C21" s="161" t="s">
        <v>50</v>
      </c>
      <c r="D21" s="162"/>
      <c r="E21" s="153" t="s">
        <v>171</v>
      </c>
      <c r="F21" s="154"/>
      <c r="G21" s="113"/>
      <c r="H21" s="114"/>
    </row>
    <row r="22" spans="2:8" ht="71.25" customHeight="1" x14ac:dyDescent="0.25">
      <c r="B22" s="110"/>
      <c r="C22" s="161" t="s">
        <v>170</v>
      </c>
      <c r="D22" s="162"/>
      <c r="E22" s="153" t="s">
        <v>172</v>
      </c>
      <c r="F22" s="154"/>
      <c r="G22" s="113"/>
      <c r="H22" s="114"/>
    </row>
    <row r="23" spans="2:8" ht="55.5" customHeight="1" x14ac:dyDescent="0.25">
      <c r="B23" s="110"/>
      <c r="C23" s="155" t="s">
        <v>173</v>
      </c>
      <c r="D23" s="156"/>
      <c r="E23" s="153" t="s">
        <v>174</v>
      </c>
      <c r="F23" s="154"/>
      <c r="G23" s="113"/>
      <c r="H23" s="114"/>
    </row>
    <row r="24" spans="2:8" ht="42" customHeight="1" x14ac:dyDescent="0.25">
      <c r="B24" s="110"/>
      <c r="C24" s="155" t="s">
        <v>48</v>
      </c>
      <c r="D24" s="156"/>
      <c r="E24" s="153" t="s">
        <v>175</v>
      </c>
      <c r="F24" s="154"/>
      <c r="G24" s="113"/>
      <c r="H24" s="114"/>
    </row>
    <row r="25" spans="2:8" ht="59.25" customHeight="1" x14ac:dyDescent="0.25">
      <c r="B25" s="110"/>
      <c r="C25" s="155" t="s">
        <v>163</v>
      </c>
      <c r="D25" s="156"/>
      <c r="E25" s="153" t="s">
        <v>176</v>
      </c>
      <c r="F25" s="154"/>
      <c r="G25" s="113"/>
      <c r="H25" s="114"/>
    </row>
    <row r="26" spans="2:8" ht="23.25" customHeight="1" x14ac:dyDescent="0.25">
      <c r="B26" s="110"/>
      <c r="C26" s="155" t="s">
        <v>12</v>
      </c>
      <c r="D26" s="156"/>
      <c r="E26" s="153" t="s">
        <v>177</v>
      </c>
      <c r="F26" s="154"/>
      <c r="G26" s="113"/>
      <c r="H26" s="114"/>
    </row>
    <row r="27" spans="2:8" ht="30.75" customHeight="1" x14ac:dyDescent="0.25">
      <c r="B27" s="110"/>
      <c r="C27" s="155" t="s">
        <v>181</v>
      </c>
      <c r="D27" s="156"/>
      <c r="E27" s="153" t="s">
        <v>178</v>
      </c>
      <c r="F27" s="154"/>
      <c r="G27" s="113"/>
      <c r="H27" s="114"/>
    </row>
    <row r="28" spans="2:8" ht="35.25" customHeight="1" x14ac:dyDescent="0.25">
      <c r="B28" s="110"/>
      <c r="C28" s="155" t="s">
        <v>182</v>
      </c>
      <c r="D28" s="156"/>
      <c r="E28" s="153" t="s">
        <v>179</v>
      </c>
      <c r="F28" s="154"/>
      <c r="G28" s="113"/>
      <c r="H28" s="114"/>
    </row>
    <row r="29" spans="2:8" ht="33" customHeight="1" x14ac:dyDescent="0.25">
      <c r="B29" s="110"/>
      <c r="C29" s="155" t="s">
        <v>182</v>
      </c>
      <c r="D29" s="156"/>
      <c r="E29" s="153" t="s">
        <v>179</v>
      </c>
      <c r="F29" s="154"/>
      <c r="G29" s="113"/>
      <c r="H29" s="114"/>
    </row>
    <row r="30" spans="2:8" ht="30" customHeight="1" x14ac:dyDescent="0.25">
      <c r="B30" s="110"/>
      <c r="C30" s="155" t="s">
        <v>183</v>
      </c>
      <c r="D30" s="156"/>
      <c r="E30" s="153" t="s">
        <v>180</v>
      </c>
      <c r="F30" s="154"/>
      <c r="G30" s="113"/>
      <c r="H30" s="114"/>
    </row>
    <row r="31" spans="2:8" ht="35.25" customHeight="1" x14ac:dyDescent="0.25">
      <c r="B31" s="110"/>
      <c r="C31" s="155" t="s">
        <v>184</v>
      </c>
      <c r="D31" s="156"/>
      <c r="E31" s="153" t="s">
        <v>185</v>
      </c>
      <c r="F31" s="154"/>
      <c r="G31" s="113"/>
      <c r="H31" s="114"/>
    </row>
    <row r="32" spans="2:8" ht="31.5" customHeight="1" x14ac:dyDescent="0.25">
      <c r="B32" s="110"/>
      <c r="C32" s="155" t="s">
        <v>186</v>
      </c>
      <c r="D32" s="156"/>
      <c r="E32" s="153" t="s">
        <v>187</v>
      </c>
      <c r="F32" s="154"/>
      <c r="G32" s="113"/>
      <c r="H32" s="114"/>
    </row>
    <row r="33" spans="2:8" ht="35.25" customHeight="1" x14ac:dyDescent="0.25">
      <c r="B33" s="110"/>
      <c r="C33" s="155" t="s">
        <v>188</v>
      </c>
      <c r="D33" s="156"/>
      <c r="E33" s="153" t="s">
        <v>189</v>
      </c>
      <c r="F33" s="154"/>
      <c r="G33" s="113"/>
      <c r="H33" s="114"/>
    </row>
    <row r="34" spans="2:8" ht="59.25" customHeight="1" x14ac:dyDescent="0.25">
      <c r="B34" s="110"/>
      <c r="C34" s="155" t="s">
        <v>190</v>
      </c>
      <c r="D34" s="156"/>
      <c r="E34" s="153" t="s">
        <v>191</v>
      </c>
      <c r="F34" s="154"/>
      <c r="G34" s="113"/>
      <c r="H34" s="114"/>
    </row>
    <row r="35" spans="2:8" ht="29.25" customHeight="1" x14ac:dyDescent="0.25">
      <c r="B35" s="110"/>
      <c r="C35" s="155" t="s">
        <v>29</v>
      </c>
      <c r="D35" s="156"/>
      <c r="E35" s="153" t="s">
        <v>192</v>
      </c>
      <c r="F35" s="154"/>
      <c r="G35" s="113"/>
      <c r="H35" s="114"/>
    </row>
    <row r="36" spans="2:8" ht="82.5" customHeight="1" x14ac:dyDescent="0.25">
      <c r="B36" s="110"/>
      <c r="C36" s="155" t="s">
        <v>194</v>
      </c>
      <c r="D36" s="156"/>
      <c r="E36" s="153" t="s">
        <v>193</v>
      </c>
      <c r="F36" s="154"/>
      <c r="G36" s="113"/>
      <c r="H36" s="114"/>
    </row>
    <row r="37" spans="2:8" ht="46.5" customHeight="1" x14ac:dyDescent="0.25">
      <c r="B37" s="110"/>
      <c r="C37" s="155" t="s">
        <v>39</v>
      </c>
      <c r="D37" s="156"/>
      <c r="E37" s="153" t="s">
        <v>195</v>
      </c>
      <c r="F37" s="154"/>
      <c r="G37" s="113"/>
      <c r="H37" s="114"/>
    </row>
    <row r="38" spans="2:8" ht="6.75" customHeight="1" thickBot="1" x14ac:dyDescent="0.3">
      <c r="B38" s="110"/>
      <c r="C38" s="166"/>
      <c r="D38" s="167"/>
      <c r="E38" s="168"/>
      <c r="F38" s="169"/>
      <c r="G38" s="113"/>
      <c r="H38" s="114"/>
    </row>
    <row r="39" spans="2:8" ht="15.75" thickTop="1" x14ac:dyDescent="0.25">
      <c r="B39" s="110"/>
      <c r="C39" s="111"/>
      <c r="D39" s="111"/>
      <c r="E39" s="112"/>
      <c r="F39" s="112"/>
      <c r="G39" s="113"/>
      <c r="H39" s="114"/>
    </row>
    <row r="40" spans="2:8" ht="21" customHeight="1" x14ac:dyDescent="0.25">
      <c r="B40" s="163" t="s">
        <v>204</v>
      </c>
      <c r="C40" s="164"/>
      <c r="D40" s="164"/>
      <c r="E40" s="164"/>
      <c r="F40" s="164"/>
      <c r="G40" s="164"/>
      <c r="H40" s="165"/>
    </row>
    <row r="41" spans="2:8" ht="20.25" customHeight="1" x14ac:dyDescent="0.25">
      <c r="B41" s="163" t="s">
        <v>205</v>
      </c>
      <c r="C41" s="164"/>
      <c r="D41" s="164"/>
      <c r="E41" s="164"/>
      <c r="F41" s="164"/>
      <c r="G41" s="164"/>
      <c r="H41" s="165"/>
    </row>
    <row r="42" spans="2:8" ht="20.25" customHeight="1" x14ac:dyDescent="0.25">
      <c r="B42" s="163" t="s">
        <v>206</v>
      </c>
      <c r="C42" s="164"/>
      <c r="D42" s="164"/>
      <c r="E42" s="164"/>
      <c r="F42" s="164"/>
      <c r="G42" s="164"/>
      <c r="H42" s="165"/>
    </row>
    <row r="43" spans="2:8" ht="20.25" customHeight="1" x14ac:dyDescent="0.25">
      <c r="B43" s="163" t="s">
        <v>207</v>
      </c>
      <c r="C43" s="164"/>
      <c r="D43" s="164"/>
      <c r="E43" s="164"/>
      <c r="F43" s="164"/>
      <c r="G43" s="164"/>
      <c r="H43" s="165"/>
    </row>
    <row r="44" spans="2:8" x14ac:dyDescent="0.25">
      <c r="B44" s="163" t="s">
        <v>208</v>
      </c>
      <c r="C44" s="164"/>
      <c r="D44" s="164"/>
      <c r="E44" s="164"/>
      <c r="F44" s="164"/>
      <c r="G44" s="164"/>
      <c r="H44" s="165"/>
    </row>
    <row r="45" spans="2:8" ht="15.75" thickBot="1" x14ac:dyDescent="0.3">
      <c r="B45" s="115"/>
      <c r="C45" s="116"/>
      <c r="D45" s="116"/>
      <c r="E45" s="116"/>
      <c r="F45" s="116"/>
      <c r="G45" s="116"/>
      <c r="H45" s="11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topLeftCell="O10" zoomScale="70" zoomScaleNormal="70" workbookViewId="0">
      <selection activeCell="AJ16" sqref="AJ16"/>
    </sheetView>
  </sheetViews>
  <sheetFormatPr baseColWidth="10"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6" t="s">
        <v>144</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9"/>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1"/>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33" t="s">
        <v>43</v>
      </c>
      <c r="B4" s="234"/>
      <c r="C4" s="192" t="s">
        <v>214</v>
      </c>
      <c r="D4" s="193"/>
      <c r="E4" s="193"/>
      <c r="F4" s="193"/>
      <c r="G4" s="193"/>
      <c r="H4" s="193"/>
      <c r="I4" s="193"/>
      <c r="J4" s="193"/>
      <c r="K4" s="193"/>
      <c r="L4" s="193"/>
      <c r="M4" s="193"/>
      <c r="N4" s="194"/>
      <c r="O4" s="195"/>
      <c r="P4" s="195"/>
      <c r="Q4" s="195"/>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64.5" customHeight="1" x14ac:dyDescent="0.3">
      <c r="A5" s="233" t="s">
        <v>130</v>
      </c>
      <c r="B5" s="234"/>
      <c r="C5" s="243" t="s">
        <v>215</v>
      </c>
      <c r="D5" s="244"/>
      <c r="E5" s="244"/>
      <c r="F5" s="244"/>
      <c r="G5" s="244"/>
      <c r="H5" s="244"/>
      <c r="I5" s="244"/>
      <c r="J5" s="244"/>
      <c r="K5" s="244"/>
      <c r="L5" s="244"/>
      <c r="M5" s="244"/>
      <c r="N5" s="245"/>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33" t="s">
        <v>44</v>
      </c>
      <c r="B6" s="234"/>
      <c r="C6" s="243" t="s">
        <v>216</v>
      </c>
      <c r="D6" s="244"/>
      <c r="E6" s="244"/>
      <c r="F6" s="244"/>
      <c r="G6" s="244"/>
      <c r="H6" s="244"/>
      <c r="I6" s="244"/>
      <c r="J6" s="244"/>
      <c r="K6" s="244"/>
      <c r="L6" s="244"/>
      <c r="M6" s="244"/>
      <c r="N6" s="245"/>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02" t="s">
        <v>139</v>
      </c>
      <c r="B7" s="203"/>
      <c r="C7" s="203"/>
      <c r="D7" s="203"/>
      <c r="E7" s="203"/>
      <c r="F7" s="203"/>
      <c r="G7" s="204"/>
      <c r="H7" s="202" t="s">
        <v>140</v>
      </c>
      <c r="I7" s="203"/>
      <c r="J7" s="203"/>
      <c r="K7" s="203"/>
      <c r="L7" s="203"/>
      <c r="M7" s="203"/>
      <c r="N7" s="204"/>
      <c r="O7" s="202" t="s">
        <v>141</v>
      </c>
      <c r="P7" s="203"/>
      <c r="Q7" s="203"/>
      <c r="R7" s="203"/>
      <c r="S7" s="203"/>
      <c r="T7" s="203"/>
      <c r="U7" s="203"/>
      <c r="V7" s="203"/>
      <c r="W7" s="204"/>
      <c r="X7" s="202" t="s">
        <v>142</v>
      </c>
      <c r="Y7" s="203"/>
      <c r="Z7" s="203"/>
      <c r="AA7" s="203"/>
      <c r="AB7" s="203"/>
      <c r="AC7" s="203"/>
      <c r="AD7" s="204"/>
      <c r="AE7" s="202" t="s">
        <v>34</v>
      </c>
      <c r="AF7" s="203"/>
      <c r="AG7" s="203"/>
      <c r="AH7" s="203"/>
      <c r="AI7" s="203"/>
      <c r="AJ7" s="204"/>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35" t="s">
        <v>0</v>
      </c>
      <c r="B8" s="240" t="s">
        <v>2</v>
      </c>
      <c r="C8" s="238" t="s">
        <v>3</v>
      </c>
      <c r="D8" s="238" t="s">
        <v>42</v>
      </c>
      <c r="E8" s="239" t="s">
        <v>1</v>
      </c>
      <c r="F8" s="237" t="s">
        <v>50</v>
      </c>
      <c r="G8" s="238" t="s">
        <v>135</v>
      </c>
      <c r="H8" s="247" t="s">
        <v>33</v>
      </c>
      <c r="I8" s="248" t="s">
        <v>5</v>
      </c>
      <c r="J8" s="237" t="s">
        <v>87</v>
      </c>
      <c r="K8" s="237" t="s">
        <v>92</v>
      </c>
      <c r="L8" s="250" t="s">
        <v>45</v>
      </c>
      <c r="M8" s="248" t="s">
        <v>5</v>
      </c>
      <c r="N8" s="238" t="s">
        <v>48</v>
      </c>
      <c r="O8" s="241" t="s">
        <v>11</v>
      </c>
      <c r="P8" s="232" t="s">
        <v>163</v>
      </c>
      <c r="Q8" s="237" t="s">
        <v>12</v>
      </c>
      <c r="R8" s="232" t="s">
        <v>8</v>
      </c>
      <c r="S8" s="232"/>
      <c r="T8" s="232"/>
      <c r="U8" s="232"/>
      <c r="V8" s="232"/>
      <c r="W8" s="232"/>
      <c r="X8" s="246" t="s">
        <v>138</v>
      </c>
      <c r="Y8" s="246" t="s">
        <v>46</v>
      </c>
      <c r="Z8" s="246" t="s">
        <v>5</v>
      </c>
      <c r="AA8" s="246" t="s">
        <v>47</v>
      </c>
      <c r="AB8" s="246" t="s">
        <v>5</v>
      </c>
      <c r="AC8" s="246" t="s">
        <v>49</v>
      </c>
      <c r="AD8" s="241" t="s">
        <v>29</v>
      </c>
      <c r="AE8" s="232" t="s">
        <v>34</v>
      </c>
      <c r="AF8" s="232" t="s">
        <v>35</v>
      </c>
      <c r="AG8" s="232" t="s">
        <v>36</v>
      </c>
      <c r="AH8" s="232" t="s">
        <v>38</v>
      </c>
      <c r="AI8" s="232" t="s">
        <v>37</v>
      </c>
      <c r="AJ8" s="232"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36"/>
      <c r="B9" s="240"/>
      <c r="C9" s="232"/>
      <c r="D9" s="232"/>
      <c r="E9" s="240"/>
      <c r="F9" s="238"/>
      <c r="G9" s="232"/>
      <c r="H9" s="238"/>
      <c r="I9" s="249"/>
      <c r="J9" s="238"/>
      <c r="K9" s="238"/>
      <c r="L9" s="249"/>
      <c r="M9" s="249"/>
      <c r="N9" s="232"/>
      <c r="O9" s="242"/>
      <c r="P9" s="232"/>
      <c r="Q9" s="238"/>
      <c r="R9" s="7" t="s">
        <v>13</v>
      </c>
      <c r="S9" s="7" t="s">
        <v>17</v>
      </c>
      <c r="T9" s="7" t="s">
        <v>28</v>
      </c>
      <c r="U9" s="7" t="s">
        <v>18</v>
      </c>
      <c r="V9" s="7" t="s">
        <v>21</v>
      </c>
      <c r="W9" s="7" t="s">
        <v>24</v>
      </c>
      <c r="X9" s="246"/>
      <c r="Y9" s="246"/>
      <c r="Z9" s="246"/>
      <c r="AA9" s="246"/>
      <c r="AB9" s="246"/>
      <c r="AC9" s="246"/>
      <c r="AD9" s="242"/>
      <c r="AE9" s="232"/>
      <c r="AF9" s="232"/>
      <c r="AG9" s="232"/>
      <c r="AH9" s="232"/>
      <c r="AI9" s="232"/>
      <c r="AJ9" s="232"/>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378" customHeight="1" x14ac:dyDescent="0.25">
      <c r="A10" s="214">
        <v>1</v>
      </c>
      <c r="B10" s="217" t="s">
        <v>134</v>
      </c>
      <c r="C10" s="217" t="s">
        <v>221</v>
      </c>
      <c r="D10" s="217" t="s">
        <v>222</v>
      </c>
      <c r="E10" s="220" t="s">
        <v>223</v>
      </c>
      <c r="F10" s="217" t="s">
        <v>123</v>
      </c>
      <c r="G10" s="223">
        <v>243</v>
      </c>
      <c r="H10" s="226" t="str">
        <f>IF(G10&lt;=0,"",IF(G10&lt;=2,"Muy Baja",IF(G10&lt;=24,"Baja",IF(G10&lt;=500,"Media",IF(G10&lt;=5000,"Alta","Muy Alta")))))</f>
        <v>Media</v>
      </c>
      <c r="I10" s="208">
        <f>IF(H10="","",IF(H10="Muy Baja",0.2,IF(H10="Baja",0.4,IF(H10="Media",0.6,IF(H10="Alta",0.8,IF(H10="Muy Alta",1,))))))</f>
        <v>0.6</v>
      </c>
      <c r="J10" s="229" t="s">
        <v>154</v>
      </c>
      <c r="K10" s="208" t="str">
        <f ca="1">IF(NOT(ISERROR(MATCH(J10,'Tabla Impacto'!$B$221:$B$223,0))),'Tabla Impacto'!$F$223&amp;"Por favor no seleccionar los criterios de impacto(Afectación Económica o presupuestal y Pérdida Reputacional)",J10)</f>
        <v xml:space="preserve">     El riesgo afecta la imagen de la entidad internamente, de conocimiento general, nivel interno, de junta dircetiva y accionistas y/o de provedores</v>
      </c>
      <c r="L10" s="226" t="str">
        <f ca="1">IF(OR(K10='Tabla Impacto'!$C$11,K10='Tabla Impacto'!$D$11),"Leve",IF(OR(K10='Tabla Impacto'!$C$12,K10='Tabla Impacto'!$D$12),"Menor",IF(OR(K10='Tabla Impacto'!$C$13,K10='Tabla Impacto'!$D$13),"Moderado",IF(OR(K10='Tabla Impacto'!$C$14,K10='Tabla Impacto'!$D$14),"Mayor",IF(OR(K10='Tabla Impacto'!$C$15,K10='Tabla Impacto'!$D$15),"Catastrófico","")))))</f>
        <v>Menor</v>
      </c>
      <c r="M10" s="208">
        <f ca="1">IF(L10="","",IF(L10="Leve",0.2,IF(L10="Menor",0.4,IF(L10="Moderado",0.6,IF(L10="Mayor",0.8,IF(L10="Catastrófico",1,))))))</f>
        <v>0.4</v>
      </c>
      <c r="N10" s="211"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5">
        <v>1</v>
      </c>
      <c r="P10" s="141" t="s">
        <v>224</v>
      </c>
      <c r="Q10" s="145" t="str">
        <f>IF(OR(R10="Preventivo",R10="Detectivo"),"Probabilidad",IF(R10="Correctivo","Impacto",""))</f>
        <v>Probabilidad</v>
      </c>
      <c r="R10" s="146" t="s">
        <v>14</v>
      </c>
      <c r="S10" s="146" t="s">
        <v>9</v>
      </c>
      <c r="T10" s="147" t="str">
        <f>IF(AND(R10="Preventivo",S10="Automático"),"50%",IF(AND(R10="Preventivo",S10="Manual"),"40%",IF(AND(R10="Detectivo",S10="Automático"),"40%",IF(AND(R10="Detectivo",S10="Manual"),"30%",IF(AND(R10="Correctivo",S10="Automático"),"35%",IF(AND(R10="Correctivo",S10="Manual"),"25%",""))))))</f>
        <v>40%</v>
      </c>
      <c r="U10" s="146" t="s">
        <v>19</v>
      </c>
      <c r="V10" s="146" t="s">
        <v>22</v>
      </c>
      <c r="W10" s="146" t="s">
        <v>119</v>
      </c>
      <c r="X10" s="130">
        <f>IFERROR(IF(Q10="Probabilidad",(I10-(+I10*T10)),IF(Q10="Impacto",I10,"")),"")</f>
        <v>0.36</v>
      </c>
      <c r="Y10" s="149" t="str">
        <f>IFERROR(IF(X10="","",IF(X10&lt;=0.2,"Muy Baja",IF(X10&lt;=0.4,"Baja",IF(X10&lt;=0.6,"Media",IF(X10&lt;=0.8,"Alta","Muy Alta"))))),"")</f>
        <v>Baja</v>
      </c>
      <c r="Z10" s="148">
        <f>+X10</f>
        <v>0.36</v>
      </c>
      <c r="AA10" s="149" t="str">
        <f ca="1">IFERROR(IF(AB10="","",IF(AB10&lt;=0.2,"Leve",IF(AB10&lt;=0.4,"Menor",IF(AB10&lt;=0.6,"Moderado",IF(AB10&lt;=0.8,"Mayor","Catastrófico"))))),"")</f>
        <v>Menor</v>
      </c>
      <c r="AB10" s="148">
        <f ca="1">IFERROR(IF(Q10="Impacto",(M10-(+M10*T10)),IF(Q10="Probabilidad",M10,"")),"")</f>
        <v>0.4</v>
      </c>
      <c r="AC10" s="150"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51" t="s">
        <v>136</v>
      </c>
      <c r="AE10" s="142" t="s">
        <v>225</v>
      </c>
      <c r="AF10" s="142" t="s">
        <v>220</v>
      </c>
      <c r="AG10" s="143" t="s">
        <v>218</v>
      </c>
      <c r="AH10" s="143" t="s">
        <v>217</v>
      </c>
      <c r="AI10" s="135" t="s">
        <v>219</v>
      </c>
      <c r="AJ10" s="144"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15"/>
      <c r="B11" s="218"/>
      <c r="C11" s="218"/>
      <c r="D11" s="218"/>
      <c r="E11" s="221"/>
      <c r="F11" s="218"/>
      <c r="G11" s="224"/>
      <c r="H11" s="227"/>
      <c r="I11" s="209"/>
      <c r="J11" s="230"/>
      <c r="K11" s="209">
        <f ca="1">IF(NOT(ISERROR(MATCH(J11,_xlfn.ANCHORARRAY(E22),0))),I24&amp;"Por favor no seleccionar los criterios de impacto",J11)</f>
        <v>0</v>
      </c>
      <c r="L11" s="227"/>
      <c r="M11" s="209"/>
      <c r="N11" s="212"/>
      <c r="O11" s="125">
        <v>2</v>
      </c>
      <c r="P11" s="126"/>
      <c r="Q11" s="127" t="str">
        <f>IF(OR(R11="Preventivo",R11="Detectivo"),"Probabilidad",IF(R11="Correctivo","Impacto",""))</f>
        <v/>
      </c>
      <c r="R11" s="128"/>
      <c r="S11" s="128"/>
      <c r="T11" s="129" t="str">
        <f t="shared" ref="T11:T15" si="0">IF(AND(R11="Preventivo",S11="Automático"),"50%",IF(AND(R11="Preventivo",S11="Manual"),"40%",IF(AND(R11="Detectivo",S11="Automático"),"40%",IF(AND(R11="Detectivo",S11="Manual"),"30%",IF(AND(R11="Correctivo",S11="Automático"),"35%",IF(AND(R11="Correctivo",S11="Manual"),"25%",""))))))</f>
        <v/>
      </c>
      <c r="U11" s="128"/>
      <c r="V11" s="128"/>
      <c r="W11" s="128"/>
      <c r="X11" s="130" t="str">
        <f>IFERROR(IF(AND(Q10="Probabilidad",Q11="Probabilidad"),(Z10-(+Z10*T11)),IF(Q11="Probabilidad",(I10-(+I10*T11)),IF(Q11="Impacto",Z10,""))),"")</f>
        <v/>
      </c>
      <c r="Y11" s="131" t="str">
        <f t="shared" ref="Y11:Y69" si="1">IFERROR(IF(X11="","",IF(X11&lt;=0.2,"Muy Baja",IF(X11&lt;=0.4,"Baja",IF(X11&lt;=0.6,"Media",IF(X11&lt;=0.8,"Alta","Muy Alta"))))),"")</f>
        <v/>
      </c>
      <c r="Z11" s="132" t="str">
        <f t="shared" ref="Z11:Z15" si="2">+X11</f>
        <v/>
      </c>
      <c r="AA11" s="131" t="str">
        <f t="shared" ref="AA11:AA69" si="3">IFERROR(IF(AB11="","",IF(AB11&lt;=0.2,"Leve",IF(AB11&lt;=0.4,"Menor",IF(AB11&lt;=0.6,"Moderado",IF(AB11&lt;=0.8,"Mayor","Catastrófico"))))),"")</f>
        <v/>
      </c>
      <c r="AB11" s="140" t="str">
        <f>IFERROR(IF(AND(Q10="Impacto",Q11="Impacto"),(AB10-(+AB10*T11)),IF(Q11="Impacto",(M10-(+M10*T11)),IF(Q11="Probabilidad",AB10,""))),"")</f>
        <v/>
      </c>
      <c r="AC11" s="133"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4"/>
      <c r="AE11" s="135"/>
      <c r="AF11" s="136"/>
      <c r="AG11" s="137"/>
      <c r="AH11" s="137"/>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15"/>
      <c r="B12" s="218"/>
      <c r="C12" s="218"/>
      <c r="D12" s="218"/>
      <c r="E12" s="221"/>
      <c r="F12" s="218"/>
      <c r="G12" s="224"/>
      <c r="H12" s="227"/>
      <c r="I12" s="209"/>
      <c r="J12" s="230"/>
      <c r="K12" s="209">
        <f ca="1">IF(NOT(ISERROR(MATCH(J12,_xlfn.ANCHORARRAY(E23),0))),I25&amp;"Por favor no seleccionar los criterios de impacto",J12)</f>
        <v>0</v>
      </c>
      <c r="L12" s="227"/>
      <c r="M12" s="209"/>
      <c r="N12" s="212"/>
      <c r="O12" s="125">
        <v>3</v>
      </c>
      <c r="P12" s="138"/>
      <c r="Q12" s="127" t="str">
        <f>IF(OR(R12="Preventivo",R12="Detectivo"),"Probabilidad",IF(R12="Correctivo","Impacto",""))</f>
        <v/>
      </c>
      <c r="R12" s="128"/>
      <c r="S12" s="128"/>
      <c r="T12" s="129" t="str">
        <f t="shared" si="0"/>
        <v/>
      </c>
      <c r="U12" s="128"/>
      <c r="V12" s="128"/>
      <c r="W12" s="128"/>
      <c r="X12" s="130" t="str">
        <f>IFERROR(IF(AND(Q11="Probabilidad",Q12="Probabilidad"),(Z11-(+Z11*T12)),IF(AND(Q11="Impacto",Q12="Probabilidad"),(Z10-(+Z10*T12)),IF(Q12="Impacto",Z11,""))),"")</f>
        <v/>
      </c>
      <c r="Y12" s="131" t="str">
        <f t="shared" si="1"/>
        <v/>
      </c>
      <c r="Z12" s="132" t="str">
        <f t="shared" si="2"/>
        <v/>
      </c>
      <c r="AA12" s="131" t="str">
        <f t="shared" si="3"/>
        <v/>
      </c>
      <c r="AB12" s="140" t="str">
        <f>IFERROR(IF(AND(Q11="Impacto",Q12="Impacto"),(AB11-(+AB11*T12)),IF(AND(Q11="Probabilidad",Q12="Impacto"),(AB10-(+AB10*T12)),IF(Q12="Probabilidad",AB11,""))),"")</f>
        <v/>
      </c>
      <c r="AC12" s="133" t="str">
        <f t="shared" si="4"/>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15"/>
      <c r="B13" s="218"/>
      <c r="C13" s="218"/>
      <c r="D13" s="218"/>
      <c r="E13" s="221"/>
      <c r="F13" s="218"/>
      <c r="G13" s="224"/>
      <c r="H13" s="227"/>
      <c r="I13" s="209"/>
      <c r="J13" s="230"/>
      <c r="K13" s="209">
        <f ca="1">IF(NOT(ISERROR(MATCH(J13,_xlfn.ANCHORARRAY(E24),0))),I26&amp;"Por favor no seleccionar los criterios de impacto",J13)</f>
        <v>0</v>
      </c>
      <c r="L13" s="227"/>
      <c r="M13" s="209"/>
      <c r="N13" s="212"/>
      <c r="O13" s="125">
        <v>4</v>
      </c>
      <c r="P13" s="126"/>
      <c r="Q13" s="127" t="str">
        <f t="shared" ref="Q13:Q15" si="5">IF(OR(R13="Preventivo",R13="Detectivo"),"Probabilidad",IF(R13="Correctivo","Impacto",""))</f>
        <v/>
      </c>
      <c r="R13" s="128"/>
      <c r="S13" s="128"/>
      <c r="T13" s="129" t="str">
        <f t="shared" si="0"/>
        <v/>
      </c>
      <c r="U13" s="128"/>
      <c r="V13" s="128"/>
      <c r="W13" s="128"/>
      <c r="X13" s="130" t="str">
        <f t="shared" ref="X13:X15" si="6">IFERROR(IF(AND(Q12="Probabilidad",Q13="Probabilidad"),(Z12-(+Z12*T13)),IF(AND(Q12="Impacto",Q13="Probabilidad"),(Z11-(+Z11*T13)),IF(Q13="Impacto",Z12,""))),"")</f>
        <v/>
      </c>
      <c r="Y13" s="131" t="str">
        <f t="shared" si="1"/>
        <v/>
      </c>
      <c r="Z13" s="132" t="str">
        <f t="shared" si="2"/>
        <v/>
      </c>
      <c r="AA13" s="131" t="str">
        <f t="shared" si="3"/>
        <v/>
      </c>
      <c r="AB13" s="140" t="str">
        <f t="shared" ref="AB13:AB15" si="7">IFERROR(IF(AND(Q12="Impacto",Q13="Impacto"),(AB12-(+AB12*T13)),IF(AND(Q12="Probabilidad",Q13="Impacto"),(AB11-(+AB11*T13)),IF(Q13="Probabilidad",AB12,""))),"")</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15"/>
      <c r="B14" s="218"/>
      <c r="C14" s="218"/>
      <c r="D14" s="218"/>
      <c r="E14" s="221"/>
      <c r="F14" s="218"/>
      <c r="G14" s="224"/>
      <c r="H14" s="227"/>
      <c r="I14" s="209"/>
      <c r="J14" s="230"/>
      <c r="K14" s="209">
        <f ca="1">IF(NOT(ISERROR(MATCH(J14,_xlfn.ANCHORARRAY(E25),0))),I27&amp;"Por favor no seleccionar los criterios de impacto",J14)</f>
        <v>0</v>
      </c>
      <c r="L14" s="227"/>
      <c r="M14" s="209"/>
      <c r="N14" s="212"/>
      <c r="O14" s="125">
        <v>5</v>
      </c>
      <c r="P14" s="126"/>
      <c r="Q14" s="127" t="str">
        <f t="shared" si="5"/>
        <v/>
      </c>
      <c r="R14" s="128"/>
      <c r="S14" s="128"/>
      <c r="T14" s="129" t="str">
        <f t="shared" si="0"/>
        <v/>
      </c>
      <c r="U14" s="128"/>
      <c r="V14" s="128"/>
      <c r="W14" s="128"/>
      <c r="X14" s="130" t="str">
        <f t="shared" si="6"/>
        <v/>
      </c>
      <c r="Y14" s="131" t="str">
        <f t="shared" si="1"/>
        <v/>
      </c>
      <c r="Z14" s="132" t="str">
        <f t="shared" si="2"/>
        <v/>
      </c>
      <c r="AA14" s="131" t="str">
        <f t="shared" si="3"/>
        <v/>
      </c>
      <c r="AB14" s="140" t="str">
        <f t="shared" si="7"/>
        <v/>
      </c>
      <c r="AC14" s="133" t="str">
        <f t="shared" si="4"/>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16"/>
      <c r="B15" s="219"/>
      <c r="C15" s="219"/>
      <c r="D15" s="219"/>
      <c r="E15" s="222"/>
      <c r="F15" s="219"/>
      <c r="G15" s="225"/>
      <c r="H15" s="228"/>
      <c r="I15" s="210"/>
      <c r="J15" s="231"/>
      <c r="K15" s="210">
        <f ca="1">IF(NOT(ISERROR(MATCH(J15,_xlfn.ANCHORARRAY(E26),0))),I28&amp;"Por favor no seleccionar los criterios de impacto",J15)</f>
        <v>0</v>
      </c>
      <c r="L15" s="228"/>
      <c r="M15" s="210"/>
      <c r="N15" s="213"/>
      <c r="O15" s="125">
        <v>6</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40" t="str">
        <f t="shared" si="7"/>
        <v/>
      </c>
      <c r="AC15" s="133" t="str">
        <f t="shared" si="4"/>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256.5" customHeight="1" x14ac:dyDescent="0.3">
      <c r="A16" s="214">
        <v>2</v>
      </c>
      <c r="B16" s="217" t="s">
        <v>134</v>
      </c>
      <c r="C16" s="217" t="s">
        <v>232</v>
      </c>
      <c r="D16" s="217" t="s">
        <v>226</v>
      </c>
      <c r="E16" s="220" t="s">
        <v>227</v>
      </c>
      <c r="F16" s="217" t="s">
        <v>123</v>
      </c>
      <c r="G16" s="223">
        <v>243</v>
      </c>
      <c r="H16" s="226" t="str">
        <f>IF(G16&lt;=0,"",IF(G16&lt;=2,"Muy Baja",IF(G16&lt;=24,"Baja",IF(G16&lt;=500,"Media",IF(G16&lt;=5000,"Alta","Muy Alta")))))</f>
        <v>Media</v>
      </c>
      <c r="I16" s="208">
        <f>IF(H16="","",IF(H16="Muy Baja",0.2,IF(H16="Baja",0.4,IF(H16="Media",0.6,IF(H16="Alta",0.8,IF(H16="Muy Alta",1,))))))</f>
        <v>0.6</v>
      </c>
      <c r="J16" s="229" t="s">
        <v>153</v>
      </c>
      <c r="K16" s="208" t="str">
        <f ca="1">IF(NOT(ISERROR(MATCH(J16,'Tabla Impacto'!$B$221:$B$223,0))),'Tabla Impacto'!$F$223&amp;"Por favor no seleccionar los criterios de impacto(Afectación Económica o presupuestal y Pérdida Reputacional)",J16)</f>
        <v xml:space="preserve">     El riesgo afecta la imagen de alguna área de la organización</v>
      </c>
      <c r="L16" s="226" t="str">
        <f ca="1">IF(OR(K16='Tabla Impacto'!$C$11,K16='Tabla Impacto'!$D$11),"Leve",IF(OR(K16='Tabla Impacto'!$C$12,K16='Tabla Impacto'!$D$12),"Menor",IF(OR(K16='Tabla Impacto'!$C$13,K16='Tabla Impacto'!$D$13),"Moderado",IF(OR(K16='Tabla Impacto'!$C$14,K16='Tabla Impacto'!$D$14),"Mayor",IF(OR(K16='Tabla Impacto'!$C$15,K16='Tabla Impacto'!$D$15),"Catastrófico","")))))</f>
        <v>Leve</v>
      </c>
      <c r="M16" s="208">
        <f ca="1">IF(L16="","",IF(L16="Leve",0.2,IF(L16="Menor",0.4,IF(L16="Moderado",0.6,IF(L16="Mayor",0.8,IF(L16="Catastrófico",1,))))))</f>
        <v>0.2</v>
      </c>
      <c r="N16" s="211"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5">
        <v>1</v>
      </c>
      <c r="P16" s="141" t="s">
        <v>228</v>
      </c>
      <c r="Q16" s="145" t="str">
        <f>IF(OR(R16="Preventivo",R16="Detectivo"),"Probabilidad",IF(R16="Correctivo","Impacto",""))</f>
        <v>Probabilidad</v>
      </c>
      <c r="R16" s="146" t="s">
        <v>14</v>
      </c>
      <c r="S16" s="146" t="s">
        <v>9</v>
      </c>
      <c r="T16" s="147" t="str">
        <f>IF(AND(R16="Preventivo",S16="Automático"),"50%",IF(AND(R16="Preventivo",S16="Manual"),"40%",IF(AND(R16="Detectivo",S16="Automático"),"40%",IF(AND(R16="Detectivo",S16="Manual"),"30%",IF(AND(R16="Correctivo",S16="Automático"),"35%",IF(AND(R16="Correctivo",S16="Manual"),"25%",""))))))</f>
        <v>40%</v>
      </c>
      <c r="U16" s="146" t="s">
        <v>19</v>
      </c>
      <c r="V16" s="146" t="s">
        <v>22</v>
      </c>
      <c r="W16" s="146" t="s">
        <v>119</v>
      </c>
      <c r="X16" s="130">
        <f>IFERROR(IF(Q16="Probabilidad",(I16-(+I16*T16)),IF(Q16="Impacto",I16,"")),"")</f>
        <v>0.36</v>
      </c>
      <c r="Y16" s="149" t="str">
        <f>IFERROR(IF(X16="","",IF(X16&lt;=0.2,"Muy Baja",IF(X16&lt;=0.4,"Baja",IF(X16&lt;=0.6,"Media",IF(X16&lt;=0.8,"Alta","Muy Alta"))))),"")</f>
        <v>Baja</v>
      </c>
      <c r="Z16" s="148">
        <f>+X16</f>
        <v>0.36</v>
      </c>
      <c r="AA16" s="149" t="str">
        <f ca="1">IFERROR(IF(AB16="","",IF(AB16&lt;=0.2,"Leve",IF(AB16&lt;=0.4,"Menor",IF(AB16&lt;=0.6,"Moderado",IF(AB16&lt;=0.8,"Mayor","Catastrófico"))))),"")</f>
        <v>Leve</v>
      </c>
      <c r="AB16" s="152">
        <f ca="1">IFERROR(IF(Q16="Impacto",(M16-(+M16*T16)),IF(Q16="Probabilidad",M16,"")),"")</f>
        <v>0.2</v>
      </c>
      <c r="AC16" s="150"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Bajo</v>
      </c>
      <c r="AD16" s="151" t="s">
        <v>136</v>
      </c>
      <c r="AE16" s="142" t="s">
        <v>229</v>
      </c>
      <c r="AF16" s="142" t="s">
        <v>230</v>
      </c>
      <c r="AG16" s="143" t="s">
        <v>218</v>
      </c>
      <c r="AH16" s="143" t="s">
        <v>217</v>
      </c>
      <c r="AI16" s="135" t="s">
        <v>231</v>
      </c>
      <c r="AJ16" s="144" t="s">
        <v>40</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15"/>
      <c r="B17" s="218"/>
      <c r="C17" s="218"/>
      <c r="D17" s="218"/>
      <c r="E17" s="221"/>
      <c r="F17" s="218"/>
      <c r="G17" s="224"/>
      <c r="H17" s="227"/>
      <c r="I17" s="209"/>
      <c r="J17" s="230"/>
      <c r="K17" s="209">
        <f ca="1">IF(NOT(ISERROR(MATCH(J17,_xlfn.ANCHORARRAY(E28),0))),I30&amp;"Por favor no seleccionar los criterios de impacto",J17)</f>
        <v>0</v>
      </c>
      <c r="L17" s="227"/>
      <c r="M17" s="209"/>
      <c r="N17" s="212"/>
      <c r="O17" s="125">
        <v>2</v>
      </c>
      <c r="P17" s="126"/>
      <c r="Q17" s="127" t="str">
        <f>IF(OR(R17="Preventivo",R17="Detectivo"),"Probabilidad",IF(R17="Correctivo","Impacto",""))</f>
        <v/>
      </c>
      <c r="R17" s="128"/>
      <c r="S17" s="128"/>
      <c r="T17" s="129" t="str">
        <f t="shared" ref="T17:T21" si="8">IF(AND(R17="Preventivo",S17="Automático"),"50%",IF(AND(R17="Preventivo",S17="Manual"),"40%",IF(AND(R17="Detectivo",S17="Automático"),"40%",IF(AND(R17="Detectivo",S17="Manual"),"30%",IF(AND(R17="Correctivo",S17="Automático"),"35%",IF(AND(R17="Correctivo",S17="Manual"),"25%",""))))))</f>
        <v/>
      </c>
      <c r="U17" s="128"/>
      <c r="V17" s="128"/>
      <c r="W17" s="128"/>
      <c r="X17" s="130" t="str">
        <f>IFERROR(IF(AND(Q16="Probabilidad",Q17="Probabilidad"),(Z16-(+Z16*T17)),IF(Q17="Probabilidad",(I16-(+I16*T17)),IF(Q17="Impacto",Z16,""))),"")</f>
        <v/>
      </c>
      <c r="Y17" s="131" t="str">
        <f t="shared" si="1"/>
        <v/>
      </c>
      <c r="Z17" s="132" t="str">
        <f t="shared" ref="Z17:Z21" si="9">+X17</f>
        <v/>
      </c>
      <c r="AA17" s="131" t="str">
        <f t="shared" si="3"/>
        <v/>
      </c>
      <c r="AB17" s="140" t="str">
        <f>IFERROR(IF(AND(Q16="Impacto",Q17="Impacto"),(AB16-(+AB16*T17)),IF(Q17="Impacto",(M16-(+M16*T17)),IF(Q17="Probabilidad",AB16,""))),"")</f>
        <v/>
      </c>
      <c r="AC17" s="133"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15"/>
      <c r="B18" s="218"/>
      <c r="C18" s="218"/>
      <c r="D18" s="218"/>
      <c r="E18" s="221"/>
      <c r="F18" s="218"/>
      <c r="G18" s="224"/>
      <c r="H18" s="227"/>
      <c r="I18" s="209"/>
      <c r="J18" s="230"/>
      <c r="K18" s="209">
        <f ca="1">IF(NOT(ISERROR(MATCH(J18,_xlfn.ANCHORARRAY(E29),0))),I31&amp;"Por favor no seleccionar los criterios de impacto",J18)</f>
        <v>0</v>
      </c>
      <c r="L18" s="227"/>
      <c r="M18" s="209"/>
      <c r="N18" s="212"/>
      <c r="O18" s="125">
        <v>3</v>
      </c>
      <c r="P18" s="138"/>
      <c r="Q18" s="127" t="str">
        <f>IF(OR(R18="Preventivo",R18="Detectivo"),"Probabilidad",IF(R18="Correctivo","Impacto",""))</f>
        <v/>
      </c>
      <c r="R18" s="128"/>
      <c r="S18" s="128"/>
      <c r="T18" s="129" t="str">
        <f t="shared" si="8"/>
        <v/>
      </c>
      <c r="U18" s="128"/>
      <c r="V18" s="128"/>
      <c r="W18" s="128"/>
      <c r="X18" s="130" t="str">
        <f>IFERROR(IF(AND(Q17="Probabilidad",Q18="Probabilidad"),(Z17-(+Z17*T18)),IF(AND(Q17="Impacto",Q18="Probabilidad"),(Z16-(+Z16*T18)),IF(Q18="Impacto",Z17,""))),"")</f>
        <v/>
      </c>
      <c r="Y18" s="131" t="str">
        <f t="shared" si="1"/>
        <v/>
      </c>
      <c r="Z18" s="132" t="str">
        <f t="shared" si="9"/>
        <v/>
      </c>
      <c r="AA18" s="131" t="str">
        <f t="shared" si="3"/>
        <v/>
      </c>
      <c r="AB18" s="140" t="str">
        <f>IFERROR(IF(AND(Q17="Impacto",Q18="Impacto"),(AB17-(+AB17*T18)),IF(AND(Q17="Probabilidad",Q18="Impacto"),(AB16-(+AB16*T18)),IF(Q18="Probabilidad",AB17,""))),"")</f>
        <v/>
      </c>
      <c r="AC18" s="133" t="str">
        <f t="shared" si="10"/>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15"/>
      <c r="B19" s="218"/>
      <c r="C19" s="218"/>
      <c r="D19" s="218"/>
      <c r="E19" s="221"/>
      <c r="F19" s="218"/>
      <c r="G19" s="224"/>
      <c r="H19" s="227"/>
      <c r="I19" s="209"/>
      <c r="J19" s="230"/>
      <c r="K19" s="209">
        <f ca="1">IF(NOT(ISERROR(MATCH(J19,_xlfn.ANCHORARRAY(E30),0))),I32&amp;"Por favor no seleccionar los criterios de impacto",J19)</f>
        <v>0</v>
      </c>
      <c r="L19" s="227"/>
      <c r="M19" s="209"/>
      <c r="N19" s="212"/>
      <c r="O19" s="125">
        <v>4</v>
      </c>
      <c r="P19" s="126"/>
      <c r="Q19" s="127" t="str">
        <f t="shared" ref="Q19:Q21" si="11">IF(OR(R19="Preventivo",R19="Detectivo"),"Probabilidad",IF(R19="Correctivo","Impacto",""))</f>
        <v/>
      </c>
      <c r="R19" s="128"/>
      <c r="S19" s="128"/>
      <c r="T19" s="129" t="str">
        <f t="shared" si="8"/>
        <v/>
      </c>
      <c r="U19" s="128"/>
      <c r="V19" s="128"/>
      <c r="W19" s="128"/>
      <c r="X19" s="130" t="str">
        <f t="shared" ref="X19:X21" si="12">IFERROR(IF(AND(Q18="Probabilidad",Q19="Probabilidad"),(Z18-(+Z18*T19)),IF(AND(Q18="Impacto",Q19="Probabilidad"),(Z17-(+Z17*T19)),IF(Q19="Impacto",Z18,""))),"")</f>
        <v/>
      </c>
      <c r="Y19" s="131" t="str">
        <f t="shared" si="1"/>
        <v/>
      </c>
      <c r="Z19" s="132" t="str">
        <f t="shared" si="9"/>
        <v/>
      </c>
      <c r="AA19" s="131" t="str">
        <f t="shared" si="3"/>
        <v/>
      </c>
      <c r="AB19" s="140" t="str">
        <f t="shared" ref="AB19:AB21" si="13">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15"/>
      <c r="B20" s="218"/>
      <c r="C20" s="218"/>
      <c r="D20" s="218"/>
      <c r="E20" s="221"/>
      <c r="F20" s="218"/>
      <c r="G20" s="224"/>
      <c r="H20" s="227"/>
      <c r="I20" s="209"/>
      <c r="J20" s="230"/>
      <c r="K20" s="209">
        <f ca="1">IF(NOT(ISERROR(MATCH(J20,_xlfn.ANCHORARRAY(E31),0))),I33&amp;"Por favor no seleccionar los criterios de impacto",J20)</f>
        <v>0</v>
      </c>
      <c r="L20" s="227"/>
      <c r="M20" s="209"/>
      <c r="N20" s="212"/>
      <c r="O20" s="125">
        <v>5</v>
      </c>
      <c r="P20" s="126"/>
      <c r="Q20" s="127" t="str">
        <f t="shared" si="11"/>
        <v/>
      </c>
      <c r="R20" s="128"/>
      <c r="S20" s="128"/>
      <c r="T20" s="129" t="str">
        <f t="shared" si="8"/>
        <v/>
      </c>
      <c r="U20" s="128"/>
      <c r="V20" s="128"/>
      <c r="W20" s="128"/>
      <c r="X20" s="130" t="str">
        <f t="shared" si="12"/>
        <v/>
      </c>
      <c r="Y20" s="131" t="str">
        <f t="shared" si="1"/>
        <v/>
      </c>
      <c r="Z20" s="132" t="str">
        <f t="shared" si="9"/>
        <v/>
      </c>
      <c r="AA20" s="131" t="str">
        <f t="shared" si="3"/>
        <v/>
      </c>
      <c r="AB20" s="140" t="str">
        <f t="shared" si="13"/>
        <v/>
      </c>
      <c r="AC20" s="133"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16"/>
      <c r="B21" s="219"/>
      <c r="C21" s="219"/>
      <c r="D21" s="219"/>
      <c r="E21" s="222"/>
      <c r="F21" s="219"/>
      <c r="G21" s="225"/>
      <c r="H21" s="228"/>
      <c r="I21" s="210"/>
      <c r="J21" s="231"/>
      <c r="K21" s="210">
        <f ca="1">IF(NOT(ISERROR(MATCH(J21,_xlfn.ANCHORARRAY(E32),0))),I34&amp;"Por favor no seleccionar los criterios de impacto",J21)</f>
        <v>0</v>
      </c>
      <c r="L21" s="228"/>
      <c r="M21" s="210"/>
      <c r="N21" s="213"/>
      <c r="O21" s="125">
        <v>6</v>
      </c>
      <c r="P21" s="126"/>
      <c r="Q21" s="127" t="str">
        <f t="shared" si="11"/>
        <v/>
      </c>
      <c r="R21" s="128"/>
      <c r="S21" s="128"/>
      <c r="T21" s="129" t="str">
        <f t="shared" si="8"/>
        <v/>
      </c>
      <c r="U21" s="128"/>
      <c r="V21" s="128"/>
      <c r="W21" s="128"/>
      <c r="X21" s="130" t="str">
        <f t="shared" si="12"/>
        <v/>
      </c>
      <c r="Y21" s="131" t="str">
        <f t="shared" si="1"/>
        <v/>
      </c>
      <c r="Z21" s="132" t="str">
        <f t="shared" si="9"/>
        <v/>
      </c>
      <c r="AA21" s="131" t="str">
        <f t="shared" si="3"/>
        <v/>
      </c>
      <c r="AB21" s="140" t="str">
        <f t="shared" si="13"/>
        <v/>
      </c>
      <c r="AC21" s="133" t="str">
        <f t="shared" si="14"/>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238.5" customHeight="1" x14ac:dyDescent="0.3">
      <c r="A22" s="214">
        <v>3</v>
      </c>
      <c r="B22" s="217" t="s">
        <v>134</v>
      </c>
      <c r="C22" s="217" t="s">
        <v>234</v>
      </c>
      <c r="D22" s="217" t="s">
        <v>233</v>
      </c>
      <c r="E22" s="220" t="s">
        <v>235</v>
      </c>
      <c r="F22" s="217" t="s">
        <v>123</v>
      </c>
      <c r="G22" s="223">
        <v>10</v>
      </c>
      <c r="H22" s="226" t="str">
        <f>IF(G22&lt;=0,"",IF(G22&lt;=2,"Muy Baja",IF(G22&lt;=24,"Baja",IF(G22&lt;=500,"Media",IF(G22&lt;=5000,"Alta","Muy Alta")))))</f>
        <v>Baja</v>
      </c>
      <c r="I22" s="208">
        <f>IF(H22="","",IF(H22="Muy Baja",0.2,IF(H22="Baja",0.4,IF(H22="Media",0.6,IF(H22="Alta",0.8,IF(H22="Muy Alta",1,))))))</f>
        <v>0.4</v>
      </c>
      <c r="J22" s="229" t="s">
        <v>146</v>
      </c>
      <c r="K22" s="208" t="str">
        <f ca="1">IF(NOT(ISERROR(MATCH(J22,'Tabla Impacto'!$B$221:$B$223,0))),'Tabla Impacto'!$F$223&amp;"Por favor no seleccionar los criterios de impacto(Afectación Económica o presupuestal y Pérdida Reputacional)",J22)</f>
        <v xml:space="preserve">     Afectación menor a 10 SMLMV .</v>
      </c>
      <c r="L22" s="226" t="str">
        <f ca="1">IF(OR(K22='Tabla Impacto'!$C$11,K22='Tabla Impacto'!$D$11),"Leve",IF(OR(K22='Tabla Impacto'!$C$12,K22='Tabla Impacto'!$D$12),"Menor",IF(OR(K22='Tabla Impacto'!$C$13,K22='Tabla Impacto'!$D$13),"Moderado",IF(OR(K22='Tabla Impacto'!$C$14,K22='Tabla Impacto'!$D$14),"Mayor",IF(OR(K22='Tabla Impacto'!$C$15,K22='Tabla Impacto'!$D$15),"Catastrófico","")))))</f>
        <v>Leve</v>
      </c>
      <c r="M22" s="208">
        <f ca="1">IF(L22="","",IF(L22="Leve",0.2,IF(L22="Menor",0.4,IF(L22="Moderado",0.6,IF(L22="Mayor",0.8,IF(L22="Catastrófico",1,))))))</f>
        <v>0.2</v>
      </c>
      <c r="N22" s="211"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Bajo</v>
      </c>
      <c r="O22" s="125">
        <v>1</v>
      </c>
      <c r="P22" s="141" t="s">
        <v>236</v>
      </c>
      <c r="Q22" s="145" t="str">
        <f>IF(OR(R22="Preventivo",R22="Detectivo"),"Probabilidad",IF(R22="Correctivo","Impacto",""))</f>
        <v>Probabilidad</v>
      </c>
      <c r="R22" s="146" t="s">
        <v>14</v>
      </c>
      <c r="S22" s="146" t="s">
        <v>9</v>
      </c>
      <c r="T22" s="147" t="str">
        <f>IF(AND(R22="Preventivo",S22="Automático"),"50%",IF(AND(R22="Preventivo",S22="Manual"),"40%",IF(AND(R22="Detectivo",S22="Automático"),"40%",IF(AND(R22="Detectivo",S22="Manual"),"30%",IF(AND(R22="Correctivo",S22="Automático"),"35%",IF(AND(R22="Correctivo",S22="Manual"),"25%",""))))))</f>
        <v>40%</v>
      </c>
      <c r="U22" s="146" t="s">
        <v>20</v>
      </c>
      <c r="V22" s="146" t="s">
        <v>23</v>
      </c>
      <c r="W22" s="146" t="s">
        <v>120</v>
      </c>
      <c r="X22" s="130">
        <f>IFERROR(IF(Q22="Probabilidad",(I22-(+I22*T22)),IF(Q22="Impacto",I22,"")),"")</f>
        <v>0.24</v>
      </c>
      <c r="Y22" s="131" t="str">
        <f>IFERROR(IF(X22="","",IF(X22&lt;=0.2,"Muy Baja",IF(X22&lt;=0.4,"Baja",IF(X22&lt;=0.6,"Media",IF(X22&lt;=0.8,"Alta","Muy Alta"))))),"")</f>
        <v>Baja</v>
      </c>
      <c r="Z22" s="148">
        <f>+X22</f>
        <v>0.24</v>
      </c>
      <c r="AA22" s="149" t="str">
        <f ca="1">IFERROR(IF(AB22="","",IF(AB22&lt;=0.2,"Leve",IF(AB22&lt;=0.4,"Menor",IF(AB22&lt;=0.6,"Moderado",IF(AB22&lt;=0.8,"Mayor","Catastrófico"))))),"")</f>
        <v>Leve</v>
      </c>
      <c r="AB22" s="152">
        <f ca="1">IFERROR(IF(Q22="Impacto",(M22-(+M22*T22)),IF(Q22="Probabilidad",M22,"")),"")</f>
        <v>0.2</v>
      </c>
      <c r="AC22" s="150"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Bajo</v>
      </c>
      <c r="AD22" s="134" t="s">
        <v>136</v>
      </c>
      <c r="AE22" s="142" t="s">
        <v>237</v>
      </c>
      <c r="AF22" s="142" t="s">
        <v>238</v>
      </c>
      <c r="AG22" s="143" t="s">
        <v>218</v>
      </c>
      <c r="AH22" s="143" t="s">
        <v>217</v>
      </c>
      <c r="AI22" s="135" t="s">
        <v>239</v>
      </c>
      <c r="AJ22" s="144" t="s">
        <v>40</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15"/>
      <c r="B23" s="218"/>
      <c r="C23" s="218"/>
      <c r="D23" s="218"/>
      <c r="E23" s="221"/>
      <c r="F23" s="218"/>
      <c r="G23" s="224"/>
      <c r="H23" s="227"/>
      <c r="I23" s="209"/>
      <c r="J23" s="230"/>
      <c r="K23" s="209">
        <f t="shared" ref="K23:K27" ca="1" si="15">IF(NOT(ISERROR(MATCH(J23,_xlfn.ANCHORARRAY(E34),0))),I36&amp;"Por favor no seleccionar los criterios de impacto",J23)</f>
        <v>0</v>
      </c>
      <c r="L23" s="227"/>
      <c r="M23" s="209"/>
      <c r="N23" s="212"/>
      <c r="O23" s="125">
        <v>2</v>
      </c>
      <c r="P23" s="126"/>
      <c r="Q23" s="127" t="str">
        <f>IF(OR(R23="Preventivo",R23="Detectivo"),"Probabilidad",IF(R23="Correctivo","Impacto",""))</f>
        <v/>
      </c>
      <c r="R23" s="128"/>
      <c r="S23" s="128"/>
      <c r="T23" s="129" t="str">
        <f t="shared" ref="T23:T27" si="16">IF(AND(R23="Preventivo",S23="Automático"),"50%",IF(AND(R23="Preventivo",S23="Manual"),"40%",IF(AND(R23="Detectivo",S23="Automático"),"40%",IF(AND(R23="Detectivo",S23="Manual"),"30%",IF(AND(R23="Correctivo",S23="Automático"),"35%",IF(AND(R23="Correctivo",S23="Manual"),"25%",""))))))</f>
        <v/>
      </c>
      <c r="U23" s="128"/>
      <c r="V23" s="128"/>
      <c r="W23" s="128"/>
      <c r="X23" s="139" t="str">
        <f>IFERROR(IF(AND(Q22="Probabilidad",Q23="Probabilidad"),(Z22-(+Z22*T23)),IF(Q23="Probabilidad",(I22-(+I22*T23)),IF(Q23="Impacto",Z22,""))),"")</f>
        <v/>
      </c>
      <c r="Y23" s="131" t="str">
        <f t="shared" si="1"/>
        <v/>
      </c>
      <c r="Z23" s="132" t="str">
        <f t="shared" ref="Z23:Z27" si="17">+X23</f>
        <v/>
      </c>
      <c r="AA23" s="131" t="str">
        <f t="shared" si="3"/>
        <v/>
      </c>
      <c r="AB23" s="140" t="str">
        <f>IFERROR(IF(AND(Q22="Impacto",Q23="Impacto"),(AB22-(+AB22*T23)),IF(Q23="Impacto",(M22-(+M22*T23)),IF(Q23="Probabilidad",AB22,""))),"")</f>
        <v/>
      </c>
      <c r="AC23" s="133"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15"/>
      <c r="B24" s="218"/>
      <c r="C24" s="218"/>
      <c r="D24" s="218"/>
      <c r="E24" s="221"/>
      <c r="F24" s="218"/>
      <c r="G24" s="224"/>
      <c r="H24" s="227"/>
      <c r="I24" s="209"/>
      <c r="J24" s="230"/>
      <c r="K24" s="209">
        <f t="shared" ca="1" si="15"/>
        <v>0</v>
      </c>
      <c r="L24" s="227"/>
      <c r="M24" s="209"/>
      <c r="N24" s="212"/>
      <c r="O24" s="125">
        <v>3</v>
      </c>
      <c r="P24" s="138"/>
      <c r="Q24" s="127" t="str">
        <f>IF(OR(R24="Preventivo",R24="Detectivo"),"Probabilidad",IF(R24="Correctivo","Impacto",""))</f>
        <v/>
      </c>
      <c r="R24" s="128"/>
      <c r="S24" s="128"/>
      <c r="T24" s="129" t="str">
        <f t="shared" si="16"/>
        <v/>
      </c>
      <c r="U24" s="128"/>
      <c r="V24" s="128"/>
      <c r="W24" s="128"/>
      <c r="X24" s="130" t="str">
        <f>IFERROR(IF(AND(Q23="Probabilidad",Q24="Probabilidad"),(Z23-(+Z23*T24)),IF(AND(Q23="Impacto",Q24="Probabilidad"),(Z22-(+Z22*T24)),IF(Q24="Impacto",Z23,""))),"")</f>
        <v/>
      </c>
      <c r="Y24" s="131" t="str">
        <f t="shared" si="1"/>
        <v/>
      </c>
      <c r="Z24" s="132" t="str">
        <f t="shared" si="17"/>
        <v/>
      </c>
      <c r="AA24" s="131" t="str">
        <f t="shared" si="3"/>
        <v/>
      </c>
      <c r="AB24" s="140" t="str">
        <f>IFERROR(IF(AND(Q23="Impacto",Q24="Impacto"),(AB23-(+AB23*T24)),IF(AND(Q23="Probabilidad",Q24="Impacto"),(AB22-(+AB22*T24)),IF(Q24="Probabilidad",AB23,""))),"")</f>
        <v/>
      </c>
      <c r="AC24" s="133" t="str">
        <f t="shared" si="18"/>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15"/>
      <c r="B25" s="218"/>
      <c r="C25" s="218"/>
      <c r="D25" s="218"/>
      <c r="E25" s="221"/>
      <c r="F25" s="218"/>
      <c r="G25" s="224"/>
      <c r="H25" s="227"/>
      <c r="I25" s="209"/>
      <c r="J25" s="230"/>
      <c r="K25" s="209">
        <f t="shared" ca="1" si="15"/>
        <v>0</v>
      </c>
      <c r="L25" s="227"/>
      <c r="M25" s="209"/>
      <c r="N25" s="212"/>
      <c r="O25" s="125">
        <v>4</v>
      </c>
      <c r="P25" s="126"/>
      <c r="Q25" s="127" t="str">
        <f t="shared" ref="Q25:Q27" si="19">IF(OR(R25="Preventivo",R25="Detectivo"),"Probabilidad",IF(R25="Correctivo","Impacto",""))</f>
        <v/>
      </c>
      <c r="R25" s="128"/>
      <c r="S25" s="128"/>
      <c r="T25" s="129" t="str">
        <f t="shared" si="16"/>
        <v/>
      </c>
      <c r="U25" s="128"/>
      <c r="V25" s="128"/>
      <c r="W25" s="128"/>
      <c r="X25" s="130" t="str">
        <f t="shared" ref="X25:X27" si="20">IFERROR(IF(AND(Q24="Probabilidad",Q25="Probabilidad"),(Z24-(+Z24*T25)),IF(AND(Q24="Impacto",Q25="Probabilidad"),(Z23-(+Z23*T25)),IF(Q25="Impacto",Z24,""))),"")</f>
        <v/>
      </c>
      <c r="Y25" s="131" t="str">
        <f t="shared" si="1"/>
        <v/>
      </c>
      <c r="Z25" s="132" t="str">
        <f t="shared" si="17"/>
        <v/>
      </c>
      <c r="AA25" s="131" t="str">
        <f t="shared" si="3"/>
        <v/>
      </c>
      <c r="AB25" s="140" t="str">
        <f t="shared" ref="AB25:AB27" si="21">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15"/>
      <c r="B26" s="218"/>
      <c r="C26" s="218"/>
      <c r="D26" s="218"/>
      <c r="E26" s="221"/>
      <c r="F26" s="218"/>
      <c r="G26" s="224"/>
      <c r="H26" s="227"/>
      <c r="I26" s="209"/>
      <c r="J26" s="230"/>
      <c r="K26" s="209">
        <f t="shared" ca="1" si="15"/>
        <v>0</v>
      </c>
      <c r="L26" s="227"/>
      <c r="M26" s="209"/>
      <c r="N26" s="212"/>
      <c r="O26" s="125">
        <v>5</v>
      </c>
      <c r="P26" s="126"/>
      <c r="Q26" s="127" t="str">
        <f t="shared" si="19"/>
        <v/>
      </c>
      <c r="R26" s="128"/>
      <c r="S26" s="128"/>
      <c r="T26" s="129" t="str">
        <f t="shared" si="16"/>
        <v/>
      </c>
      <c r="U26" s="128"/>
      <c r="V26" s="128"/>
      <c r="W26" s="128"/>
      <c r="X26" s="130" t="str">
        <f t="shared" si="20"/>
        <v/>
      </c>
      <c r="Y26" s="131" t="str">
        <f t="shared" si="1"/>
        <v/>
      </c>
      <c r="Z26" s="132" t="str">
        <f t="shared" si="17"/>
        <v/>
      </c>
      <c r="AA26" s="131" t="str">
        <f t="shared" si="3"/>
        <v/>
      </c>
      <c r="AB26" s="140" t="str">
        <f t="shared" si="21"/>
        <v/>
      </c>
      <c r="AC26" s="133"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16"/>
      <c r="B27" s="219"/>
      <c r="C27" s="219"/>
      <c r="D27" s="219"/>
      <c r="E27" s="222"/>
      <c r="F27" s="219"/>
      <c r="G27" s="225"/>
      <c r="H27" s="228"/>
      <c r="I27" s="210"/>
      <c r="J27" s="231"/>
      <c r="K27" s="210">
        <f t="shared" ca="1" si="15"/>
        <v>0</v>
      </c>
      <c r="L27" s="228"/>
      <c r="M27" s="210"/>
      <c r="N27" s="213"/>
      <c r="O27" s="125">
        <v>6</v>
      </c>
      <c r="P27" s="126"/>
      <c r="Q27" s="127" t="str">
        <f t="shared" si="19"/>
        <v/>
      </c>
      <c r="R27" s="128"/>
      <c r="S27" s="128"/>
      <c r="T27" s="129" t="str">
        <f t="shared" si="16"/>
        <v/>
      </c>
      <c r="U27" s="128"/>
      <c r="V27" s="128"/>
      <c r="W27" s="128"/>
      <c r="X27" s="130" t="str">
        <f t="shared" si="20"/>
        <v/>
      </c>
      <c r="Y27" s="131" t="str">
        <f t="shared" si="1"/>
        <v/>
      </c>
      <c r="Z27" s="132" t="str">
        <f t="shared" si="17"/>
        <v/>
      </c>
      <c r="AA27" s="131" t="str">
        <f t="shared" si="3"/>
        <v/>
      </c>
      <c r="AB27" s="140" t="str">
        <f t="shared" si="21"/>
        <v/>
      </c>
      <c r="AC27" s="133" t="str">
        <f t="shared" si="22"/>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14">
        <v>4</v>
      </c>
      <c r="B28" s="217"/>
      <c r="C28" s="217"/>
      <c r="D28" s="217"/>
      <c r="E28" s="220"/>
      <c r="F28" s="217"/>
      <c r="G28" s="223"/>
      <c r="H28" s="226" t="str">
        <f>IF(G28&lt;=0,"",IF(G28&lt;=2,"Muy Baja",IF(G28&lt;=24,"Baja",IF(G28&lt;=500,"Media",IF(G28&lt;=5000,"Alta","Muy Alta")))))</f>
        <v/>
      </c>
      <c r="I28" s="208" t="str">
        <f>IF(H28="","",IF(H28="Muy Baja",0.2,IF(H28="Baja",0.4,IF(H28="Media",0.6,IF(H28="Alta",0.8,IF(H28="Muy Alta",1,))))))</f>
        <v/>
      </c>
      <c r="J28" s="229"/>
      <c r="K28" s="208">
        <f ca="1">IF(NOT(ISERROR(MATCH(J28,'Tabla Impacto'!$B$221:$B$223,0))),'Tabla Impacto'!$F$223&amp;"Por favor no seleccionar los criterios de impacto(Afectación Económica o presupuestal y Pérdida Reputacional)",J28)</f>
        <v>0</v>
      </c>
      <c r="L28" s="226" t="str">
        <f ca="1">IF(OR(K28='Tabla Impacto'!$C$11,K28='Tabla Impacto'!$D$11),"Leve",IF(OR(K28='Tabla Impacto'!$C$12,K28='Tabla Impacto'!$D$12),"Menor",IF(OR(K28='Tabla Impacto'!$C$13,K28='Tabla Impacto'!$D$13),"Moderado",IF(OR(K28='Tabla Impacto'!$C$14,K28='Tabla Impacto'!$D$14),"Mayor",IF(OR(K28='Tabla Impacto'!$C$15,K28='Tabla Impacto'!$D$15),"Catastrófico","")))))</f>
        <v/>
      </c>
      <c r="M28" s="208" t="str">
        <f ca="1">IF(L28="","",IF(L28="Leve",0.2,IF(L28="Menor",0.4,IF(L28="Moderado",0.6,IF(L28="Mayor",0.8,IF(L28="Catastrófico",1,))))))</f>
        <v/>
      </c>
      <c r="N28" s="211"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5">
        <v>1</v>
      </c>
      <c r="P28" s="126"/>
      <c r="Q28" s="127" t="str">
        <f>IF(OR(R28="Preventivo",R28="Detectivo"),"Probabilidad",IF(R28="Correctivo","Impacto",""))</f>
        <v/>
      </c>
      <c r="R28" s="128"/>
      <c r="S28" s="128"/>
      <c r="T28" s="129" t="str">
        <f>IF(AND(R28="Preventivo",S28="Automático"),"50%",IF(AND(R28="Preventivo",S28="Manual"),"40%",IF(AND(R28="Detectivo",S28="Automático"),"40%",IF(AND(R28="Detectivo",S28="Manual"),"30%",IF(AND(R28="Correctivo",S28="Automático"),"35%",IF(AND(R28="Correctivo",S28="Manual"),"25%",""))))))</f>
        <v/>
      </c>
      <c r="U28" s="128"/>
      <c r="V28" s="128"/>
      <c r="W28" s="128"/>
      <c r="X28" s="130" t="str">
        <f>IFERROR(IF(Q28="Probabilidad",(I28-(+I28*T28)),IF(Q28="Impacto",I28,"")),"")</f>
        <v/>
      </c>
      <c r="Y28" s="131" t="str">
        <f>IFERROR(IF(X28="","",IF(X28&lt;=0.2,"Muy Baja",IF(X28&lt;=0.4,"Baja",IF(X28&lt;=0.6,"Media",IF(X28&lt;=0.8,"Alta","Muy Alta"))))),"")</f>
        <v/>
      </c>
      <c r="Z28" s="132" t="str">
        <f>+X28</f>
        <v/>
      </c>
      <c r="AA28" s="131" t="str">
        <f>IFERROR(IF(AB28="","",IF(AB28&lt;=0.2,"Leve",IF(AB28&lt;=0.4,"Menor",IF(AB28&lt;=0.6,"Moderado",IF(AB28&lt;=0.8,"Mayor","Catastrófico"))))),"")</f>
        <v/>
      </c>
      <c r="AB28" s="140" t="str">
        <f>IFERROR(IF(Q28="Impacto",(M28-(+M28*T28)),IF(Q28="Probabilidad",M28,"")),"")</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15"/>
      <c r="B29" s="218"/>
      <c r="C29" s="218"/>
      <c r="D29" s="218"/>
      <c r="E29" s="221"/>
      <c r="F29" s="218"/>
      <c r="G29" s="224"/>
      <c r="H29" s="227"/>
      <c r="I29" s="209"/>
      <c r="J29" s="230"/>
      <c r="K29" s="209">
        <f t="shared" ref="K29:K33" ca="1" si="23">IF(NOT(ISERROR(MATCH(J29,_xlfn.ANCHORARRAY(E40),0))),I42&amp;"Por favor no seleccionar los criterios de impacto",J29)</f>
        <v>0</v>
      </c>
      <c r="L29" s="227"/>
      <c r="M29" s="209"/>
      <c r="N29" s="212"/>
      <c r="O29" s="125">
        <v>2</v>
      </c>
      <c r="P29" s="126"/>
      <c r="Q29" s="127" t="str">
        <f>IF(OR(R29="Preventivo",R29="Detectivo"),"Probabilidad",IF(R29="Correctivo","Impacto",""))</f>
        <v/>
      </c>
      <c r="R29" s="128"/>
      <c r="S29" s="128"/>
      <c r="T29" s="129" t="str">
        <f t="shared" ref="T29:T33" si="24">IF(AND(R29="Preventivo",S29="Automático"),"50%",IF(AND(R29="Preventivo",S29="Manual"),"40%",IF(AND(R29="Detectivo",S29="Automático"),"40%",IF(AND(R29="Detectivo",S29="Manual"),"30%",IF(AND(R29="Correctivo",S29="Automático"),"35%",IF(AND(R29="Correctivo",S29="Manual"),"25%",""))))))</f>
        <v/>
      </c>
      <c r="U29" s="128"/>
      <c r="V29" s="128"/>
      <c r="W29" s="128"/>
      <c r="X29" s="130" t="str">
        <f>IFERROR(IF(AND(Q28="Probabilidad",Q29="Probabilidad"),(Z28-(+Z28*T29)),IF(Q29="Probabilidad",(I28-(+I28*T29)),IF(Q29="Impacto",Z28,""))),"")</f>
        <v/>
      </c>
      <c r="Y29" s="131" t="str">
        <f t="shared" si="1"/>
        <v/>
      </c>
      <c r="Z29" s="132" t="str">
        <f t="shared" ref="Z29:Z33" si="25">+X29</f>
        <v/>
      </c>
      <c r="AA29" s="131" t="str">
        <f t="shared" si="3"/>
        <v/>
      </c>
      <c r="AB29" s="140" t="str">
        <f>IFERROR(IF(AND(Q28="Impacto",Q29="Impacto"),(AB28-(+AB28*T29)),IF(Q29="Impacto",(M28-(+M28*T29)),IF(Q29="Probabilidad",AB28,""))),"")</f>
        <v/>
      </c>
      <c r="AC29" s="133"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15"/>
      <c r="B30" s="218"/>
      <c r="C30" s="218"/>
      <c r="D30" s="218"/>
      <c r="E30" s="221"/>
      <c r="F30" s="218"/>
      <c r="G30" s="224"/>
      <c r="H30" s="227"/>
      <c r="I30" s="209"/>
      <c r="J30" s="230"/>
      <c r="K30" s="209">
        <f t="shared" ca="1" si="23"/>
        <v>0</v>
      </c>
      <c r="L30" s="227"/>
      <c r="M30" s="209"/>
      <c r="N30" s="212"/>
      <c r="O30" s="125">
        <v>3</v>
      </c>
      <c r="P30" s="138"/>
      <c r="Q30" s="127" t="str">
        <f>IF(OR(R30="Preventivo",R30="Detectivo"),"Probabilidad",IF(R30="Correctivo","Impacto",""))</f>
        <v/>
      </c>
      <c r="R30" s="128"/>
      <c r="S30" s="128"/>
      <c r="T30" s="129" t="str">
        <f t="shared" si="24"/>
        <v/>
      </c>
      <c r="U30" s="128"/>
      <c r="V30" s="128"/>
      <c r="W30" s="128"/>
      <c r="X30" s="130" t="str">
        <f>IFERROR(IF(AND(Q29="Probabilidad",Q30="Probabilidad"),(Z29-(+Z29*T30)),IF(AND(Q29="Impacto",Q30="Probabilidad"),(Z28-(+Z28*T30)),IF(Q30="Impacto",Z29,""))),"")</f>
        <v/>
      </c>
      <c r="Y30" s="131" t="str">
        <f t="shared" si="1"/>
        <v/>
      </c>
      <c r="Z30" s="132" t="str">
        <f t="shared" si="25"/>
        <v/>
      </c>
      <c r="AA30" s="131" t="str">
        <f t="shared" si="3"/>
        <v/>
      </c>
      <c r="AB30" s="140" t="str">
        <f>IFERROR(IF(AND(Q29="Impacto",Q30="Impacto"),(AB29-(+AB29*T30)),IF(AND(Q29="Probabilidad",Q30="Impacto"),(AB28-(+AB28*T30)),IF(Q30="Probabilidad",AB29,""))),"")</f>
        <v/>
      </c>
      <c r="AC30" s="133" t="str">
        <f t="shared" si="26"/>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15"/>
      <c r="B31" s="218"/>
      <c r="C31" s="218"/>
      <c r="D31" s="218"/>
      <c r="E31" s="221"/>
      <c r="F31" s="218"/>
      <c r="G31" s="224"/>
      <c r="H31" s="227"/>
      <c r="I31" s="209"/>
      <c r="J31" s="230"/>
      <c r="K31" s="209">
        <f t="shared" ca="1" si="23"/>
        <v>0</v>
      </c>
      <c r="L31" s="227"/>
      <c r="M31" s="209"/>
      <c r="N31" s="212"/>
      <c r="O31" s="125">
        <v>4</v>
      </c>
      <c r="P31" s="126"/>
      <c r="Q31" s="127" t="str">
        <f t="shared" ref="Q31:Q33" si="27">IF(OR(R31="Preventivo",R31="Detectivo"),"Probabilidad",IF(R31="Correctivo","Impacto",""))</f>
        <v/>
      </c>
      <c r="R31" s="128"/>
      <c r="S31" s="128"/>
      <c r="T31" s="129" t="str">
        <f t="shared" si="24"/>
        <v/>
      </c>
      <c r="U31" s="128"/>
      <c r="V31" s="128"/>
      <c r="W31" s="128"/>
      <c r="X31" s="130" t="str">
        <f t="shared" ref="X31:X33" si="28">IFERROR(IF(AND(Q30="Probabilidad",Q31="Probabilidad"),(Z30-(+Z30*T31)),IF(AND(Q30="Impacto",Q31="Probabilidad"),(Z29-(+Z29*T31)),IF(Q31="Impacto",Z30,""))),"")</f>
        <v/>
      </c>
      <c r="Y31" s="131" t="str">
        <f t="shared" si="1"/>
        <v/>
      </c>
      <c r="Z31" s="132" t="str">
        <f t="shared" si="25"/>
        <v/>
      </c>
      <c r="AA31" s="131" t="str">
        <f t="shared" si="3"/>
        <v/>
      </c>
      <c r="AB31" s="140" t="str">
        <f t="shared" ref="AB31:AB33" si="29">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15"/>
      <c r="B32" s="218"/>
      <c r="C32" s="218"/>
      <c r="D32" s="218"/>
      <c r="E32" s="221"/>
      <c r="F32" s="218"/>
      <c r="G32" s="224"/>
      <c r="H32" s="227"/>
      <c r="I32" s="209"/>
      <c r="J32" s="230"/>
      <c r="K32" s="209">
        <f t="shared" ca="1" si="23"/>
        <v>0</v>
      </c>
      <c r="L32" s="227"/>
      <c r="M32" s="209"/>
      <c r="N32" s="212"/>
      <c r="O32" s="125">
        <v>5</v>
      </c>
      <c r="P32" s="126"/>
      <c r="Q32" s="127" t="str">
        <f t="shared" si="27"/>
        <v/>
      </c>
      <c r="R32" s="128"/>
      <c r="S32" s="128"/>
      <c r="T32" s="129" t="str">
        <f t="shared" si="24"/>
        <v/>
      </c>
      <c r="U32" s="128"/>
      <c r="V32" s="128"/>
      <c r="W32" s="128"/>
      <c r="X32" s="139" t="str">
        <f t="shared" si="28"/>
        <v/>
      </c>
      <c r="Y32" s="131" t="str">
        <f>IFERROR(IF(X32="","",IF(X32&lt;=0.2,"Muy Baja",IF(X32&lt;=0.4,"Baja",IF(X32&lt;=0.6,"Media",IF(X32&lt;=0.8,"Alta","Muy Alta"))))),"")</f>
        <v/>
      </c>
      <c r="Z32" s="132" t="str">
        <f t="shared" si="25"/>
        <v/>
      </c>
      <c r="AA32" s="131" t="str">
        <f t="shared" si="3"/>
        <v/>
      </c>
      <c r="AB32" s="140" t="str">
        <f t="shared" si="29"/>
        <v/>
      </c>
      <c r="AC32" s="133"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16"/>
      <c r="B33" s="219"/>
      <c r="C33" s="219"/>
      <c r="D33" s="219"/>
      <c r="E33" s="222"/>
      <c r="F33" s="219"/>
      <c r="G33" s="225"/>
      <c r="H33" s="228"/>
      <c r="I33" s="210"/>
      <c r="J33" s="231"/>
      <c r="K33" s="210">
        <f t="shared" ca="1" si="23"/>
        <v>0</v>
      </c>
      <c r="L33" s="228"/>
      <c r="M33" s="210"/>
      <c r="N33" s="213"/>
      <c r="O33" s="125">
        <v>6</v>
      </c>
      <c r="P33" s="126"/>
      <c r="Q33" s="127" t="str">
        <f t="shared" si="27"/>
        <v/>
      </c>
      <c r="R33" s="128"/>
      <c r="S33" s="128"/>
      <c r="T33" s="129" t="str">
        <f t="shared" si="24"/>
        <v/>
      </c>
      <c r="U33" s="128"/>
      <c r="V33" s="128"/>
      <c r="W33" s="128"/>
      <c r="X33" s="130" t="str">
        <f t="shared" si="28"/>
        <v/>
      </c>
      <c r="Y33" s="131" t="str">
        <f t="shared" si="1"/>
        <v/>
      </c>
      <c r="Z33" s="132" t="str">
        <f t="shared" si="25"/>
        <v/>
      </c>
      <c r="AA33" s="131" t="str">
        <f t="shared" si="3"/>
        <v/>
      </c>
      <c r="AB33" s="140" t="str">
        <f t="shared" si="29"/>
        <v/>
      </c>
      <c r="AC33" s="133" t="str">
        <f t="shared" si="30"/>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14">
        <v>5</v>
      </c>
      <c r="B34" s="217"/>
      <c r="C34" s="217"/>
      <c r="D34" s="217"/>
      <c r="E34" s="220"/>
      <c r="F34" s="217"/>
      <c r="G34" s="223"/>
      <c r="H34" s="226" t="str">
        <f>IF(G34&lt;=0,"",IF(G34&lt;=2,"Muy Baja",IF(G34&lt;=24,"Baja",IF(G34&lt;=500,"Media",IF(G34&lt;=5000,"Alta","Muy Alta")))))</f>
        <v/>
      </c>
      <c r="I34" s="208" t="str">
        <f>IF(H34="","",IF(H34="Muy Baja",0.2,IF(H34="Baja",0.4,IF(H34="Media",0.6,IF(H34="Alta",0.8,IF(H34="Muy Alta",1,))))))</f>
        <v/>
      </c>
      <c r="J34" s="229"/>
      <c r="K34" s="208">
        <f ca="1">IF(NOT(ISERROR(MATCH(J34,'Tabla Impacto'!$B$221:$B$223,0))),'Tabla Impacto'!$F$223&amp;"Por favor no seleccionar los criterios de impacto(Afectación Económica o presupuestal y Pérdida Reputacional)",J34)</f>
        <v>0</v>
      </c>
      <c r="L34" s="226" t="str">
        <f ca="1">IF(OR(K34='Tabla Impacto'!$C$11,K34='Tabla Impacto'!$D$11),"Leve",IF(OR(K34='Tabla Impacto'!$C$12,K34='Tabla Impacto'!$D$12),"Menor",IF(OR(K34='Tabla Impacto'!$C$13,K34='Tabla Impacto'!$D$13),"Moderado",IF(OR(K34='Tabla Impacto'!$C$14,K34='Tabla Impacto'!$D$14),"Mayor",IF(OR(K34='Tabla Impacto'!$C$15,K34='Tabla Impacto'!$D$15),"Catastrófico","")))))</f>
        <v/>
      </c>
      <c r="M34" s="208" t="str">
        <f ca="1">IF(L34="","",IF(L34="Leve",0.2,IF(L34="Menor",0.4,IF(L34="Moderado",0.6,IF(L34="Mayor",0.8,IF(L34="Catastrófico",1,))))))</f>
        <v/>
      </c>
      <c r="N34" s="211"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40"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15"/>
      <c r="B35" s="218"/>
      <c r="C35" s="218"/>
      <c r="D35" s="218"/>
      <c r="E35" s="221"/>
      <c r="F35" s="218"/>
      <c r="G35" s="224"/>
      <c r="H35" s="227"/>
      <c r="I35" s="209"/>
      <c r="J35" s="230"/>
      <c r="K35" s="209">
        <f t="shared" ref="K35:K39" ca="1" si="31">IF(NOT(ISERROR(MATCH(J35,_xlfn.ANCHORARRAY(E46),0))),I48&amp;"Por favor no seleccionar los criterios de impacto",J35)</f>
        <v>0</v>
      </c>
      <c r="L35" s="227"/>
      <c r="M35" s="209"/>
      <c r="N35" s="212"/>
      <c r="O35" s="125">
        <v>2</v>
      </c>
      <c r="P35" s="126"/>
      <c r="Q35" s="127" t="str">
        <f>IF(OR(R35="Preventivo",R35="Detectivo"),"Probabilidad",IF(R35="Correctivo","Impacto",""))</f>
        <v/>
      </c>
      <c r="R35" s="128"/>
      <c r="S35" s="128"/>
      <c r="T35" s="129" t="str">
        <f t="shared" ref="T35:T39" si="32">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
        <v/>
      </c>
      <c r="Z35" s="132" t="str">
        <f t="shared" ref="Z35:Z39" si="33">+X35</f>
        <v/>
      </c>
      <c r="AA35" s="131" t="str">
        <f t="shared" si="3"/>
        <v/>
      </c>
      <c r="AB35" s="140" t="str">
        <f>IFERROR(IF(AND(Q34="Impacto",Q35="Impacto"),(AB34-(+AB34*T35)),IF(Q35="Impacto",(M34-(+M34*T35)),IF(Q35="Probabilidad",AB34,""))),"")</f>
        <v/>
      </c>
      <c r="AC35" s="133"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15"/>
      <c r="B36" s="218"/>
      <c r="C36" s="218"/>
      <c r="D36" s="218"/>
      <c r="E36" s="221"/>
      <c r="F36" s="218"/>
      <c r="G36" s="224"/>
      <c r="H36" s="227"/>
      <c r="I36" s="209"/>
      <c r="J36" s="230"/>
      <c r="K36" s="209">
        <f t="shared" ca="1" si="31"/>
        <v>0</v>
      </c>
      <c r="L36" s="227"/>
      <c r="M36" s="209"/>
      <c r="N36" s="212"/>
      <c r="O36" s="125">
        <v>3</v>
      </c>
      <c r="P36" s="138"/>
      <c r="Q36" s="127" t="str">
        <f>IF(OR(R36="Preventivo",R36="Detectivo"),"Probabilidad",IF(R36="Correctivo","Impacto",""))</f>
        <v/>
      </c>
      <c r="R36" s="128"/>
      <c r="S36" s="128"/>
      <c r="T36" s="129" t="str">
        <f t="shared" si="32"/>
        <v/>
      </c>
      <c r="U36" s="128"/>
      <c r="V36" s="128"/>
      <c r="W36" s="128"/>
      <c r="X36" s="130" t="str">
        <f>IFERROR(IF(AND(Q35="Probabilidad",Q36="Probabilidad"),(Z35-(+Z35*T36)),IF(AND(Q35="Impacto",Q36="Probabilidad"),(Z34-(+Z34*T36)),IF(Q36="Impacto",Z35,""))),"")</f>
        <v/>
      </c>
      <c r="Y36" s="131" t="str">
        <f t="shared" si="1"/>
        <v/>
      </c>
      <c r="Z36" s="132" t="str">
        <f t="shared" si="33"/>
        <v/>
      </c>
      <c r="AA36" s="131" t="str">
        <f t="shared" si="3"/>
        <v/>
      </c>
      <c r="AB36" s="140" t="str">
        <f>IFERROR(IF(AND(Q35="Impacto",Q36="Impacto"),(AB35-(+AB35*T36)),IF(AND(Q35="Probabilidad",Q36="Impacto"),(AB34-(+AB34*T36)),IF(Q36="Probabilidad",AB35,""))),"")</f>
        <v/>
      </c>
      <c r="AC36" s="133" t="str">
        <f t="shared" si="34"/>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15"/>
      <c r="B37" s="218"/>
      <c r="C37" s="218"/>
      <c r="D37" s="218"/>
      <c r="E37" s="221"/>
      <c r="F37" s="218"/>
      <c r="G37" s="224"/>
      <c r="H37" s="227"/>
      <c r="I37" s="209"/>
      <c r="J37" s="230"/>
      <c r="K37" s="209">
        <f t="shared" ca="1" si="31"/>
        <v>0</v>
      </c>
      <c r="L37" s="227"/>
      <c r="M37" s="209"/>
      <c r="N37" s="212"/>
      <c r="O37" s="125">
        <v>4</v>
      </c>
      <c r="P37" s="126"/>
      <c r="Q37" s="127" t="str">
        <f t="shared" ref="Q37:Q39" si="35">IF(OR(R37="Preventivo",R37="Detectivo"),"Probabilidad",IF(R37="Correctivo","Impacto",""))</f>
        <v/>
      </c>
      <c r="R37" s="128"/>
      <c r="S37" s="128"/>
      <c r="T37" s="129" t="str">
        <f t="shared" si="32"/>
        <v/>
      </c>
      <c r="U37" s="128"/>
      <c r="V37" s="128"/>
      <c r="W37" s="128"/>
      <c r="X37" s="130" t="str">
        <f t="shared" ref="X37:X39" si="36">IFERROR(IF(AND(Q36="Probabilidad",Q37="Probabilidad"),(Z36-(+Z36*T37)),IF(AND(Q36="Impacto",Q37="Probabilidad"),(Z35-(+Z35*T37)),IF(Q37="Impacto",Z36,""))),"")</f>
        <v/>
      </c>
      <c r="Y37" s="131" t="str">
        <f t="shared" si="1"/>
        <v/>
      </c>
      <c r="Z37" s="132" t="str">
        <f t="shared" si="33"/>
        <v/>
      </c>
      <c r="AA37" s="131" t="str">
        <f t="shared" si="3"/>
        <v/>
      </c>
      <c r="AB37" s="140" t="str">
        <f t="shared" ref="AB37:AB39" si="37">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15"/>
      <c r="B38" s="218"/>
      <c r="C38" s="218"/>
      <c r="D38" s="218"/>
      <c r="E38" s="221"/>
      <c r="F38" s="218"/>
      <c r="G38" s="224"/>
      <c r="H38" s="227"/>
      <c r="I38" s="209"/>
      <c r="J38" s="230"/>
      <c r="K38" s="209">
        <f t="shared" ca="1" si="31"/>
        <v>0</v>
      </c>
      <c r="L38" s="227"/>
      <c r="M38" s="209"/>
      <c r="N38" s="212"/>
      <c r="O38" s="125">
        <v>5</v>
      </c>
      <c r="P38" s="126"/>
      <c r="Q38" s="127" t="str">
        <f t="shared" si="35"/>
        <v/>
      </c>
      <c r="R38" s="128"/>
      <c r="S38" s="128"/>
      <c r="T38" s="129" t="str">
        <f t="shared" si="32"/>
        <v/>
      </c>
      <c r="U38" s="128"/>
      <c r="V38" s="128"/>
      <c r="W38" s="128"/>
      <c r="X38" s="130" t="str">
        <f t="shared" si="36"/>
        <v/>
      </c>
      <c r="Y38" s="131" t="str">
        <f t="shared" si="1"/>
        <v/>
      </c>
      <c r="Z38" s="132" t="str">
        <f t="shared" si="33"/>
        <v/>
      </c>
      <c r="AA38" s="131" t="str">
        <f t="shared" si="3"/>
        <v/>
      </c>
      <c r="AB38" s="140" t="str">
        <f t="shared" si="37"/>
        <v/>
      </c>
      <c r="AC38" s="133"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16"/>
      <c r="B39" s="219"/>
      <c r="C39" s="219"/>
      <c r="D39" s="219"/>
      <c r="E39" s="222"/>
      <c r="F39" s="219"/>
      <c r="G39" s="225"/>
      <c r="H39" s="228"/>
      <c r="I39" s="210"/>
      <c r="J39" s="231"/>
      <c r="K39" s="210">
        <f t="shared" ca="1" si="31"/>
        <v>0</v>
      </c>
      <c r="L39" s="228"/>
      <c r="M39" s="210"/>
      <c r="N39" s="213"/>
      <c r="O39" s="125">
        <v>6</v>
      </c>
      <c r="P39" s="126"/>
      <c r="Q39" s="127" t="str">
        <f t="shared" si="35"/>
        <v/>
      </c>
      <c r="R39" s="128"/>
      <c r="S39" s="128"/>
      <c r="T39" s="129" t="str">
        <f t="shared" si="32"/>
        <v/>
      </c>
      <c r="U39" s="128"/>
      <c r="V39" s="128"/>
      <c r="W39" s="128"/>
      <c r="X39" s="130" t="str">
        <f t="shared" si="36"/>
        <v/>
      </c>
      <c r="Y39" s="131" t="str">
        <f t="shared" si="1"/>
        <v/>
      </c>
      <c r="Z39" s="132" t="str">
        <f t="shared" si="33"/>
        <v/>
      </c>
      <c r="AA39" s="131" t="str">
        <f t="shared" si="3"/>
        <v/>
      </c>
      <c r="AB39" s="140" t="str">
        <f t="shared" si="37"/>
        <v/>
      </c>
      <c r="AC39" s="133" t="str">
        <f t="shared" si="38"/>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14">
        <v>6</v>
      </c>
      <c r="B40" s="217"/>
      <c r="C40" s="217"/>
      <c r="D40" s="217"/>
      <c r="E40" s="220"/>
      <c r="F40" s="217"/>
      <c r="G40" s="223"/>
      <c r="H40" s="226" t="str">
        <f>IF(G40&lt;=0,"",IF(G40&lt;=2,"Muy Baja",IF(G40&lt;=24,"Baja",IF(G40&lt;=500,"Media",IF(G40&lt;=5000,"Alta","Muy Alta")))))</f>
        <v/>
      </c>
      <c r="I40" s="208" t="str">
        <f>IF(H40="","",IF(H40="Muy Baja",0.2,IF(H40="Baja",0.4,IF(H40="Media",0.6,IF(H40="Alta",0.8,IF(H40="Muy Alta",1,))))))</f>
        <v/>
      </c>
      <c r="J40" s="229"/>
      <c r="K40" s="208">
        <f ca="1">IF(NOT(ISERROR(MATCH(J40,'Tabla Impacto'!$B$221:$B$223,0))),'Tabla Impacto'!$F$223&amp;"Por favor no seleccionar los criterios de impacto(Afectación Económica o presupuestal y Pérdida Reputacional)",J40)</f>
        <v>0</v>
      </c>
      <c r="L40" s="226" t="str">
        <f ca="1">IF(OR(K40='Tabla Impacto'!$C$11,K40='Tabla Impacto'!$D$11),"Leve",IF(OR(K40='Tabla Impacto'!$C$12,K40='Tabla Impacto'!$D$12),"Menor",IF(OR(K40='Tabla Impacto'!$C$13,K40='Tabla Impacto'!$D$13),"Moderado",IF(OR(K40='Tabla Impacto'!$C$14,K40='Tabla Impacto'!$D$14),"Mayor",IF(OR(K40='Tabla Impacto'!$C$15,K40='Tabla Impacto'!$D$15),"Catastrófico","")))))</f>
        <v/>
      </c>
      <c r="M40" s="208" t="str">
        <f ca="1">IF(L40="","",IF(L40="Leve",0.2,IF(L40="Menor",0.4,IF(L40="Moderado",0.6,IF(L40="Mayor",0.8,IF(L40="Catastrófico",1,))))))</f>
        <v/>
      </c>
      <c r="N40" s="211"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5">
        <v>1</v>
      </c>
      <c r="P40" s="126"/>
      <c r="Q40" s="127" t="str">
        <f>IF(OR(R40="Preventivo",R40="Detectivo"),"Probabilidad",IF(R40="Correctivo","Impacto",""))</f>
        <v/>
      </c>
      <c r="R40" s="128"/>
      <c r="S40" s="128"/>
      <c r="T40" s="129" t="str">
        <f>IF(AND(R40="Preventivo",S40="Automático"),"50%",IF(AND(R40="Preventivo",S40="Manual"),"40%",IF(AND(R40="Detectivo",S40="Automático"),"40%",IF(AND(R40="Detectivo",S40="Manual"),"30%",IF(AND(R40="Correctivo",S40="Automático"),"35%",IF(AND(R40="Correctivo",S40="Manual"),"25%",""))))))</f>
        <v/>
      </c>
      <c r="U40" s="128"/>
      <c r="V40" s="128"/>
      <c r="W40" s="128"/>
      <c r="X40" s="130" t="str">
        <f>IFERROR(IF(Q40="Probabilidad",(I40-(+I40*T40)),IF(Q40="Impacto",I40,"")),"")</f>
        <v/>
      </c>
      <c r="Y40" s="131" t="str">
        <f>IFERROR(IF(X40="","",IF(X40&lt;=0.2,"Muy Baja",IF(X40&lt;=0.4,"Baja",IF(X40&lt;=0.6,"Media",IF(X40&lt;=0.8,"Alta","Muy Alta"))))),"")</f>
        <v/>
      </c>
      <c r="Z40" s="132" t="str">
        <f>+X40</f>
        <v/>
      </c>
      <c r="AA40" s="131" t="str">
        <f>IFERROR(IF(AB40="","",IF(AB40&lt;=0.2,"Leve",IF(AB40&lt;=0.4,"Menor",IF(AB40&lt;=0.6,"Moderado",IF(AB40&lt;=0.8,"Mayor","Catastrófico"))))),"")</f>
        <v/>
      </c>
      <c r="AB40" s="140" t="str">
        <f>IFERROR(IF(Q40="Impacto",(M40-(+M40*T40)),IF(Q40="Probabilidad",M40,"")),"")</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15"/>
      <c r="B41" s="218"/>
      <c r="C41" s="218"/>
      <c r="D41" s="218"/>
      <c r="E41" s="221"/>
      <c r="F41" s="218"/>
      <c r="G41" s="224"/>
      <c r="H41" s="227"/>
      <c r="I41" s="209"/>
      <c r="J41" s="230"/>
      <c r="K41" s="209">
        <f t="shared" ref="K41:K45" ca="1" si="39">IF(NOT(ISERROR(MATCH(J41,_xlfn.ANCHORARRAY(E52),0))),I54&amp;"Por favor no seleccionar los criterios de impacto",J41)</f>
        <v>0</v>
      </c>
      <c r="L41" s="227"/>
      <c r="M41" s="209"/>
      <c r="N41" s="212"/>
      <c r="O41" s="125">
        <v>2</v>
      </c>
      <c r="P41" s="126"/>
      <c r="Q41" s="127" t="str">
        <f>IF(OR(R41="Preventivo",R41="Detectivo"),"Probabilidad",IF(R41="Correctivo","Impacto",""))</f>
        <v/>
      </c>
      <c r="R41" s="128"/>
      <c r="S41" s="128"/>
      <c r="T41" s="129" t="str">
        <f t="shared" ref="T41:T45" si="40">IF(AND(R41="Preventivo",S41="Automático"),"50%",IF(AND(R41="Preventivo",S41="Manual"),"40%",IF(AND(R41="Detectivo",S41="Automático"),"40%",IF(AND(R41="Detectivo",S41="Manual"),"30%",IF(AND(R41="Correctivo",S41="Automático"),"35%",IF(AND(R41="Correctivo",S41="Manual"),"25%",""))))))</f>
        <v/>
      </c>
      <c r="U41" s="128"/>
      <c r="V41" s="128"/>
      <c r="W41" s="128"/>
      <c r="X41" s="130" t="str">
        <f>IFERROR(IF(AND(Q40="Probabilidad",Q41="Probabilidad"),(Z40-(+Z40*T41)),IF(Q41="Probabilidad",(I40-(+I40*T41)),IF(Q41="Impacto",Z40,""))),"")</f>
        <v/>
      </c>
      <c r="Y41" s="131" t="str">
        <f t="shared" si="1"/>
        <v/>
      </c>
      <c r="Z41" s="132" t="str">
        <f t="shared" ref="Z41:Z45" si="41">+X41</f>
        <v/>
      </c>
      <c r="AA41" s="131" t="str">
        <f t="shared" si="3"/>
        <v/>
      </c>
      <c r="AB41" s="140" t="str">
        <f>IFERROR(IF(AND(Q40="Impacto",Q41="Impacto"),(AB40-(+AB40*T41)),IF(Q41="Impacto",(M40-(+M40*T41)),IF(Q41="Probabilidad",AB40,""))),"")</f>
        <v/>
      </c>
      <c r="AC41" s="1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15"/>
      <c r="B42" s="218"/>
      <c r="C42" s="218"/>
      <c r="D42" s="218"/>
      <c r="E42" s="221"/>
      <c r="F42" s="218"/>
      <c r="G42" s="224"/>
      <c r="H42" s="227"/>
      <c r="I42" s="209"/>
      <c r="J42" s="230"/>
      <c r="K42" s="209">
        <f t="shared" ca="1" si="39"/>
        <v>0</v>
      </c>
      <c r="L42" s="227"/>
      <c r="M42" s="209"/>
      <c r="N42" s="212"/>
      <c r="O42" s="125">
        <v>3</v>
      </c>
      <c r="P42" s="138"/>
      <c r="Q42" s="127" t="str">
        <f>IF(OR(R42="Preventivo",R42="Detectivo"),"Probabilidad",IF(R42="Correctivo","Impacto",""))</f>
        <v/>
      </c>
      <c r="R42" s="128"/>
      <c r="S42" s="128"/>
      <c r="T42" s="129" t="str">
        <f t="shared" si="40"/>
        <v/>
      </c>
      <c r="U42" s="128"/>
      <c r="V42" s="128"/>
      <c r="W42" s="128"/>
      <c r="X42" s="130" t="str">
        <f>IFERROR(IF(AND(Q41="Probabilidad",Q42="Probabilidad"),(Z41-(+Z41*T42)),IF(AND(Q41="Impacto",Q42="Probabilidad"),(Z40-(+Z40*T42)),IF(Q42="Impacto",Z41,""))),"")</f>
        <v/>
      </c>
      <c r="Y42" s="131" t="str">
        <f t="shared" si="1"/>
        <v/>
      </c>
      <c r="Z42" s="132" t="str">
        <f t="shared" si="41"/>
        <v/>
      </c>
      <c r="AA42" s="131" t="str">
        <f t="shared" si="3"/>
        <v/>
      </c>
      <c r="AB42" s="140" t="str">
        <f>IFERROR(IF(AND(Q41="Impacto",Q42="Impacto"),(AB41-(+AB41*T42)),IF(AND(Q41="Probabilidad",Q42="Impacto"),(AB40-(+AB40*T42)),IF(Q42="Probabilidad",AB41,""))),"")</f>
        <v/>
      </c>
      <c r="AC42" s="133" t="str">
        <f t="shared" si="42"/>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15"/>
      <c r="B43" s="218"/>
      <c r="C43" s="218"/>
      <c r="D43" s="218"/>
      <c r="E43" s="221"/>
      <c r="F43" s="218"/>
      <c r="G43" s="224"/>
      <c r="H43" s="227"/>
      <c r="I43" s="209"/>
      <c r="J43" s="230"/>
      <c r="K43" s="209">
        <f t="shared" ca="1" si="39"/>
        <v>0</v>
      </c>
      <c r="L43" s="227"/>
      <c r="M43" s="209"/>
      <c r="N43" s="212"/>
      <c r="O43" s="125">
        <v>4</v>
      </c>
      <c r="P43" s="126"/>
      <c r="Q43" s="127" t="str">
        <f t="shared" ref="Q43:Q45" si="43">IF(OR(R43="Preventivo",R43="Detectivo"),"Probabilidad",IF(R43="Correctivo","Impacto",""))</f>
        <v/>
      </c>
      <c r="R43" s="128"/>
      <c r="S43" s="128"/>
      <c r="T43" s="129" t="str">
        <f t="shared" si="40"/>
        <v/>
      </c>
      <c r="U43" s="128"/>
      <c r="V43" s="128"/>
      <c r="W43" s="128"/>
      <c r="X43" s="130" t="str">
        <f t="shared" ref="X43:X45" si="44">IFERROR(IF(AND(Q42="Probabilidad",Q43="Probabilidad"),(Z42-(+Z42*T43)),IF(AND(Q42="Impacto",Q43="Probabilidad"),(Z41-(+Z41*T43)),IF(Q43="Impacto",Z42,""))),"")</f>
        <v/>
      </c>
      <c r="Y43" s="131" t="str">
        <f t="shared" si="1"/>
        <v/>
      </c>
      <c r="Z43" s="132" t="str">
        <f t="shared" si="41"/>
        <v/>
      </c>
      <c r="AA43" s="131" t="str">
        <f t="shared" si="3"/>
        <v/>
      </c>
      <c r="AB43" s="140" t="str">
        <f t="shared" ref="AB43:AB45" si="45">IFERROR(IF(AND(Q42="Impacto",Q43="Impacto"),(AB42-(+AB42*T43)),IF(AND(Q42="Probabilidad",Q43="Impacto"),(AB41-(+AB41*T43)),IF(Q43="Probabilidad",AB42,""))),"")</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15"/>
      <c r="B44" s="218"/>
      <c r="C44" s="218"/>
      <c r="D44" s="218"/>
      <c r="E44" s="221"/>
      <c r="F44" s="218"/>
      <c r="G44" s="224"/>
      <c r="H44" s="227"/>
      <c r="I44" s="209"/>
      <c r="J44" s="230"/>
      <c r="K44" s="209">
        <f t="shared" ca="1" si="39"/>
        <v>0</v>
      </c>
      <c r="L44" s="227"/>
      <c r="M44" s="209"/>
      <c r="N44" s="212"/>
      <c r="O44" s="125">
        <v>5</v>
      </c>
      <c r="P44" s="126"/>
      <c r="Q44" s="127" t="str">
        <f t="shared" si="43"/>
        <v/>
      </c>
      <c r="R44" s="128"/>
      <c r="S44" s="128"/>
      <c r="T44" s="129" t="str">
        <f t="shared" si="40"/>
        <v/>
      </c>
      <c r="U44" s="128"/>
      <c r="V44" s="128"/>
      <c r="W44" s="128"/>
      <c r="X44" s="130" t="str">
        <f t="shared" si="44"/>
        <v/>
      </c>
      <c r="Y44" s="131" t="str">
        <f t="shared" si="1"/>
        <v/>
      </c>
      <c r="Z44" s="132" t="str">
        <f t="shared" si="41"/>
        <v/>
      </c>
      <c r="AA44" s="131" t="str">
        <f t="shared" si="3"/>
        <v/>
      </c>
      <c r="AB44" s="140" t="str">
        <f t="shared" si="45"/>
        <v/>
      </c>
      <c r="AC44" s="133"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16"/>
      <c r="B45" s="219"/>
      <c r="C45" s="219"/>
      <c r="D45" s="219"/>
      <c r="E45" s="222"/>
      <c r="F45" s="219"/>
      <c r="G45" s="225"/>
      <c r="H45" s="228"/>
      <c r="I45" s="210"/>
      <c r="J45" s="231"/>
      <c r="K45" s="210">
        <f t="shared" ca="1" si="39"/>
        <v>0</v>
      </c>
      <c r="L45" s="228"/>
      <c r="M45" s="210"/>
      <c r="N45" s="213"/>
      <c r="O45" s="125">
        <v>6</v>
      </c>
      <c r="P45" s="126"/>
      <c r="Q45" s="127" t="str">
        <f t="shared" si="43"/>
        <v/>
      </c>
      <c r="R45" s="128"/>
      <c r="S45" s="128"/>
      <c r="T45" s="129" t="str">
        <f t="shared" si="40"/>
        <v/>
      </c>
      <c r="U45" s="128"/>
      <c r="V45" s="128"/>
      <c r="W45" s="128"/>
      <c r="X45" s="130" t="str">
        <f t="shared" si="44"/>
        <v/>
      </c>
      <c r="Y45" s="131" t="str">
        <f t="shared" si="1"/>
        <v/>
      </c>
      <c r="Z45" s="132" t="str">
        <f t="shared" si="41"/>
        <v/>
      </c>
      <c r="AA45" s="131" t="str">
        <f>IFERROR(IF(AB45="","",IF(AB45&lt;=0.2,"Leve",IF(AB45&lt;=0.4,"Menor",IF(AB45&lt;=0.6,"Moderado",IF(AB45&lt;=0.8,"Mayor","Catastrófico"))))),"")</f>
        <v/>
      </c>
      <c r="AB45" s="140" t="str">
        <f t="shared" si="45"/>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14">
        <v>7</v>
      </c>
      <c r="B46" s="217"/>
      <c r="C46" s="217"/>
      <c r="D46" s="217"/>
      <c r="E46" s="220"/>
      <c r="F46" s="217"/>
      <c r="G46" s="223"/>
      <c r="H46" s="226" t="str">
        <f>IF(G46&lt;=0,"",IF(G46&lt;=2,"Muy Baja",IF(G46&lt;=24,"Baja",IF(G46&lt;=500,"Media",IF(G46&lt;=5000,"Alta","Muy Alta")))))</f>
        <v/>
      </c>
      <c r="I46" s="208" t="str">
        <f>IF(H46="","",IF(H46="Muy Baja",0.2,IF(H46="Baja",0.4,IF(H46="Media",0.6,IF(H46="Alta",0.8,IF(H46="Muy Alta",1,))))))</f>
        <v/>
      </c>
      <c r="J46" s="229"/>
      <c r="K46" s="208">
        <f ca="1">IF(NOT(ISERROR(MATCH(J46,'Tabla Impacto'!$B$221:$B$223,0))),'Tabla Impacto'!$F$223&amp;"Por favor no seleccionar los criterios de impacto(Afectación Económica o presupuestal y Pérdida Reputacional)",J46)</f>
        <v>0</v>
      </c>
      <c r="L46" s="226" t="str">
        <f ca="1">IF(OR(K46='Tabla Impacto'!$C$11,K46='Tabla Impacto'!$D$11),"Leve",IF(OR(K46='Tabla Impacto'!$C$12,K46='Tabla Impacto'!$D$12),"Menor",IF(OR(K46='Tabla Impacto'!$C$13,K46='Tabla Impacto'!$D$13),"Moderado",IF(OR(K46='Tabla Impacto'!$C$14,K46='Tabla Impacto'!$D$14),"Mayor",IF(OR(K46='Tabla Impacto'!$C$15,K46='Tabla Impacto'!$D$15),"Catastrófico","")))))</f>
        <v/>
      </c>
      <c r="M46" s="208" t="str">
        <f ca="1">IF(L46="","",IF(L46="Leve",0.2,IF(L46="Menor",0.4,IF(L46="Moderado",0.6,IF(L46="Mayor",0.8,IF(L46="Catastrófico",1,))))))</f>
        <v/>
      </c>
      <c r="N46" s="211"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5">
        <v>1</v>
      </c>
      <c r="P46" s="126"/>
      <c r="Q46" s="127" t="str">
        <f>IF(OR(R46="Preventivo",R46="Detectivo"),"Probabilidad",IF(R46="Correctivo","Impacto",""))</f>
        <v/>
      </c>
      <c r="R46" s="128"/>
      <c r="S46" s="128"/>
      <c r="T46" s="129" t="str">
        <f>IF(AND(R46="Preventivo",S46="Automático"),"50%",IF(AND(R46="Preventivo",S46="Manual"),"40%",IF(AND(R46="Detectivo",S46="Automático"),"40%",IF(AND(R46="Detectivo",S46="Manual"),"30%",IF(AND(R46="Correctivo",S46="Automático"),"35%",IF(AND(R46="Correctivo",S46="Manual"),"25%",""))))))</f>
        <v/>
      </c>
      <c r="U46" s="128"/>
      <c r="V46" s="128"/>
      <c r="W46" s="128"/>
      <c r="X46" s="130" t="str">
        <f>IFERROR(IF(Q46="Probabilidad",(I46-(+I46*T46)),IF(Q46="Impacto",I46,"")),"")</f>
        <v/>
      </c>
      <c r="Y46" s="131" t="str">
        <f>IFERROR(IF(X46="","",IF(X46&lt;=0.2,"Muy Baja",IF(X46&lt;=0.4,"Baja",IF(X46&lt;=0.6,"Media",IF(X46&lt;=0.8,"Alta","Muy Alta"))))),"")</f>
        <v/>
      </c>
      <c r="Z46" s="132" t="str">
        <f>+X46</f>
        <v/>
      </c>
      <c r="AA46" s="131" t="str">
        <f>IFERROR(IF(AB46="","",IF(AB46&lt;=0.2,"Leve",IF(AB46&lt;=0.4,"Menor",IF(AB46&lt;=0.6,"Moderado",IF(AB46&lt;=0.8,"Mayor","Catastrófico"))))),"")</f>
        <v/>
      </c>
      <c r="AB46" s="140" t="str">
        <f>IFERROR(IF(Q46="Impacto",(M46-(+M46*T46)),IF(Q46="Probabilidad",M46,"")),"")</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15"/>
      <c r="B47" s="218"/>
      <c r="C47" s="218"/>
      <c r="D47" s="218"/>
      <c r="E47" s="221"/>
      <c r="F47" s="218"/>
      <c r="G47" s="224"/>
      <c r="H47" s="227"/>
      <c r="I47" s="209"/>
      <c r="J47" s="230"/>
      <c r="K47" s="209">
        <f t="shared" ref="K47:K51" ca="1" si="47">IF(NOT(ISERROR(MATCH(J47,_xlfn.ANCHORARRAY(E58),0))),I60&amp;"Por favor no seleccionar los criterios de impacto",J47)</f>
        <v>0</v>
      </c>
      <c r="L47" s="227"/>
      <c r="M47" s="209"/>
      <c r="N47" s="212"/>
      <c r="O47" s="125">
        <v>2</v>
      </c>
      <c r="P47" s="126"/>
      <c r="Q47" s="127" t="str">
        <f>IF(OR(R47="Preventivo",R47="Detectivo"),"Probabilidad",IF(R47="Correctivo","Impacto",""))</f>
        <v/>
      </c>
      <c r="R47" s="128"/>
      <c r="S47" s="128"/>
      <c r="T47" s="129" t="str">
        <f t="shared" ref="T47:T51" si="48">IF(AND(R47="Preventivo",S47="Automático"),"50%",IF(AND(R47="Preventivo",S47="Manual"),"40%",IF(AND(R47="Detectivo",S47="Automático"),"40%",IF(AND(R47="Detectivo",S47="Manual"),"30%",IF(AND(R47="Correctivo",S47="Automático"),"35%",IF(AND(R47="Correctivo",S47="Manual"),"25%",""))))))</f>
        <v/>
      </c>
      <c r="U47" s="128"/>
      <c r="V47" s="128"/>
      <c r="W47" s="128"/>
      <c r="X47" s="130" t="str">
        <f>IFERROR(IF(AND(Q46="Probabilidad",Q47="Probabilidad"),(Z46-(+Z46*T47)),IF(Q47="Probabilidad",(I46-(+I46*T47)),IF(Q47="Impacto",Z46,""))),"")</f>
        <v/>
      </c>
      <c r="Y47" s="131" t="str">
        <f t="shared" si="1"/>
        <v/>
      </c>
      <c r="Z47" s="132" t="str">
        <f t="shared" ref="Z47:Z51" si="49">+X47</f>
        <v/>
      </c>
      <c r="AA47" s="131" t="str">
        <f t="shared" si="3"/>
        <v/>
      </c>
      <c r="AB47" s="140" t="str">
        <f>IFERROR(IF(AND(Q46="Impacto",Q47="Impacto"),(AB46-(+AB46*T47)),IF(Q47="Impacto",(M46-(+M46*T47)),IF(Q47="Probabilidad",AB46,""))),"")</f>
        <v/>
      </c>
      <c r="AC47" s="133"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15"/>
      <c r="B48" s="218"/>
      <c r="C48" s="218"/>
      <c r="D48" s="218"/>
      <c r="E48" s="221"/>
      <c r="F48" s="218"/>
      <c r="G48" s="224"/>
      <c r="H48" s="227"/>
      <c r="I48" s="209"/>
      <c r="J48" s="230"/>
      <c r="K48" s="209">
        <f t="shared" ca="1" si="47"/>
        <v>0</v>
      </c>
      <c r="L48" s="227"/>
      <c r="M48" s="209"/>
      <c r="N48" s="212"/>
      <c r="O48" s="125">
        <v>3</v>
      </c>
      <c r="P48" s="138"/>
      <c r="Q48" s="127" t="str">
        <f>IF(OR(R48="Preventivo",R48="Detectivo"),"Probabilidad",IF(R48="Correctivo","Impacto",""))</f>
        <v/>
      </c>
      <c r="R48" s="128"/>
      <c r="S48" s="128"/>
      <c r="T48" s="129" t="str">
        <f t="shared" si="48"/>
        <v/>
      </c>
      <c r="U48" s="128"/>
      <c r="V48" s="128"/>
      <c r="W48" s="128"/>
      <c r="X48" s="130" t="str">
        <f>IFERROR(IF(AND(Q47="Probabilidad",Q48="Probabilidad"),(Z47-(+Z47*T48)),IF(AND(Q47="Impacto",Q48="Probabilidad"),(Z46-(+Z46*T48)),IF(Q48="Impacto",Z47,""))),"")</f>
        <v/>
      </c>
      <c r="Y48" s="131" t="str">
        <f t="shared" si="1"/>
        <v/>
      </c>
      <c r="Z48" s="132" t="str">
        <f t="shared" si="49"/>
        <v/>
      </c>
      <c r="AA48" s="131" t="str">
        <f t="shared" si="3"/>
        <v/>
      </c>
      <c r="AB48" s="140" t="str">
        <f>IFERROR(IF(AND(Q47="Impacto",Q48="Impacto"),(AB47-(+AB47*T48)),IF(AND(Q47="Probabilidad",Q48="Impacto"),(AB46-(+AB46*T48)),IF(Q48="Probabilidad",AB47,""))),"")</f>
        <v/>
      </c>
      <c r="AC48" s="133" t="str">
        <f t="shared" si="50"/>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15"/>
      <c r="B49" s="218"/>
      <c r="C49" s="218"/>
      <c r="D49" s="218"/>
      <c r="E49" s="221"/>
      <c r="F49" s="218"/>
      <c r="G49" s="224"/>
      <c r="H49" s="227"/>
      <c r="I49" s="209"/>
      <c r="J49" s="230"/>
      <c r="K49" s="209">
        <f t="shared" ca="1" si="47"/>
        <v>0</v>
      </c>
      <c r="L49" s="227"/>
      <c r="M49" s="209"/>
      <c r="N49" s="212"/>
      <c r="O49" s="125">
        <v>4</v>
      </c>
      <c r="P49" s="126"/>
      <c r="Q49" s="127" t="str">
        <f t="shared" ref="Q49:Q51" si="51">IF(OR(R49="Preventivo",R49="Detectivo"),"Probabilidad",IF(R49="Correctivo","Impacto",""))</f>
        <v/>
      </c>
      <c r="R49" s="128"/>
      <c r="S49" s="128"/>
      <c r="T49" s="129" t="str">
        <f t="shared" si="48"/>
        <v/>
      </c>
      <c r="U49" s="128"/>
      <c r="V49" s="128"/>
      <c r="W49" s="128"/>
      <c r="X49" s="130" t="str">
        <f t="shared" ref="X49:X51" si="52">IFERROR(IF(AND(Q48="Probabilidad",Q49="Probabilidad"),(Z48-(+Z48*T49)),IF(AND(Q48="Impacto",Q49="Probabilidad"),(Z47-(+Z47*T49)),IF(Q49="Impacto",Z48,""))),"")</f>
        <v/>
      </c>
      <c r="Y49" s="131" t="str">
        <f t="shared" si="1"/>
        <v/>
      </c>
      <c r="Z49" s="132" t="str">
        <f t="shared" si="49"/>
        <v/>
      </c>
      <c r="AA49" s="131" t="str">
        <f t="shared" si="3"/>
        <v/>
      </c>
      <c r="AB49" s="140" t="str">
        <f t="shared" ref="AB49:AB51" si="53">IFERROR(IF(AND(Q48="Impacto",Q49="Impacto"),(AB48-(+AB48*T49)),IF(AND(Q48="Probabilidad",Q49="Impacto"),(AB47-(+AB47*T49)),IF(Q49="Probabilidad",AB48,""))),"")</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15"/>
      <c r="B50" s="218"/>
      <c r="C50" s="218"/>
      <c r="D50" s="218"/>
      <c r="E50" s="221"/>
      <c r="F50" s="218"/>
      <c r="G50" s="224"/>
      <c r="H50" s="227"/>
      <c r="I50" s="209"/>
      <c r="J50" s="230"/>
      <c r="K50" s="209">
        <f t="shared" ca="1" si="47"/>
        <v>0</v>
      </c>
      <c r="L50" s="227"/>
      <c r="M50" s="209"/>
      <c r="N50" s="212"/>
      <c r="O50" s="125">
        <v>5</v>
      </c>
      <c r="P50" s="126"/>
      <c r="Q50" s="127" t="str">
        <f t="shared" si="51"/>
        <v/>
      </c>
      <c r="R50" s="128"/>
      <c r="S50" s="128"/>
      <c r="T50" s="129" t="str">
        <f t="shared" si="48"/>
        <v/>
      </c>
      <c r="U50" s="128"/>
      <c r="V50" s="128"/>
      <c r="W50" s="128"/>
      <c r="X50" s="130" t="str">
        <f t="shared" si="52"/>
        <v/>
      </c>
      <c r="Y50" s="131" t="str">
        <f t="shared" si="1"/>
        <v/>
      </c>
      <c r="Z50" s="132" t="str">
        <f t="shared" si="49"/>
        <v/>
      </c>
      <c r="AA50" s="131" t="str">
        <f t="shared" si="3"/>
        <v/>
      </c>
      <c r="AB50" s="140" t="str">
        <f t="shared" si="53"/>
        <v/>
      </c>
      <c r="AC50" s="133"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16"/>
      <c r="B51" s="219"/>
      <c r="C51" s="219"/>
      <c r="D51" s="219"/>
      <c r="E51" s="222"/>
      <c r="F51" s="219"/>
      <c r="G51" s="225"/>
      <c r="H51" s="228"/>
      <c r="I51" s="210"/>
      <c r="J51" s="231"/>
      <c r="K51" s="210">
        <f t="shared" ca="1" si="47"/>
        <v>0</v>
      </c>
      <c r="L51" s="228"/>
      <c r="M51" s="210"/>
      <c r="N51" s="213"/>
      <c r="O51" s="125">
        <v>6</v>
      </c>
      <c r="P51" s="126"/>
      <c r="Q51" s="127" t="str">
        <f t="shared" si="51"/>
        <v/>
      </c>
      <c r="R51" s="128"/>
      <c r="S51" s="128"/>
      <c r="T51" s="129" t="str">
        <f t="shared" si="48"/>
        <v/>
      </c>
      <c r="U51" s="128"/>
      <c r="V51" s="128"/>
      <c r="W51" s="128"/>
      <c r="X51" s="130" t="str">
        <f t="shared" si="52"/>
        <v/>
      </c>
      <c r="Y51" s="131" t="str">
        <f t="shared" si="1"/>
        <v/>
      </c>
      <c r="Z51" s="132" t="str">
        <f t="shared" si="49"/>
        <v/>
      </c>
      <c r="AA51" s="131" t="str">
        <f t="shared" si="3"/>
        <v/>
      </c>
      <c r="AB51" s="140" t="str">
        <f t="shared" si="53"/>
        <v/>
      </c>
      <c r="AC51" s="133" t="str">
        <f t="shared" si="54"/>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14">
        <v>8</v>
      </c>
      <c r="B52" s="217"/>
      <c r="C52" s="217"/>
      <c r="D52" s="217"/>
      <c r="E52" s="220"/>
      <c r="F52" s="217"/>
      <c r="G52" s="223"/>
      <c r="H52" s="226" t="str">
        <f>IF(G52&lt;=0,"",IF(G52&lt;=2,"Muy Baja",IF(G52&lt;=24,"Baja",IF(G52&lt;=500,"Media",IF(G52&lt;=5000,"Alta","Muy Alta")))))</f>
        <v/>
      </c>
      <c r="I52" s="208" t="str">
        <f>IF(H52="","",IF(H52="Muy Baja",0.2,IF(H52="Baja",0.4,IF(H52="Media",0.6,IF(H52="Alta",0.8,IF(H52="Muy Alta",1,))))))</f>
        <v/>
      </c>
      <c r="J52" s="229"/>
      <c r="K52" s="208">
        <f ca="1">IF(NOT(ISERROR(MATCH(J52,'Tabla Impacto'!$B$221:$B$223,0))),'Tabla Impacto'!$F$223&amp;"Por favor no seleccionar los criterios de impacto(Afectación Económica o presupuestal y Pérdida Reputacional)",J52)</f>
        <v>0</v>
      </c>
      <c r="L52" s="226" t="str">
        <f ca="1">IF(OR(K52='Tabla Impacto'!$C$11,K52='Tabla Impacto'!$D$11),"Leve",IF(OR(K52='Tabla Impacto'!$C$12,K52='Tabla Impacto'!$D$12),"Menor",IF(OR(K52='Tabla Impacto'!$C$13,K52='Tabla Impacto'!$D$13),"Moderado",IF(OR(K52='Tabla Impacto'!$C$14,K52='Tabla Impacto'!$D$14),"Mayor",IF(OR(K52='Tabla Impacto'!$C$15,K52='Tabla Impacto'!$D$15),"Catastrófico","")))))</f>
        <v/>
      </c>
      <c r="M52" s="208" t="str">
        <f ca="1">IF(L52="","",IF(L52="Leve",0.2,IF(L52="Menor",0.4,IF(L52="Moderado",0.6,IF(L52="Mayor",0.8,IF(L52="Catastrófico",1,))))))</f>
        <v/>
      </c>
      <c r="N52" s="211"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5">
        <v>1</v>
      </c>
      <c r="P52" s="126"/>
      <c r="Q52" s="127" t="str">
        <f>IF(OR(R52="Preventivo",R52="Detectivo"),"Probabilidad",IF(R52="Correctivo","Impacto",""))</f>
        <v/>
      </c>
      <c r="R52" s="128"/>
      <c r="S52" s="128"/>
      <c r="T52" s="129" t="str">
        <f>IF(AND(R52="Preventivo",S52="Automático"),"50%",IF(AND(R52="Preventivo",S52="Manual"),"40%",IF(AND(R52="Detectivo",S52="Automático"),"40%",IF(AND(R52="Detectivo",S52="Manual"),"30%",IF(AND(R52="Correctivo",S52="Automático"),"35%",IF(AND(R52="Correctivo",S52="Manual"),"25%",""))))))</f>
        <v/>
      </c>
      <c r="U52" s="128"/>
      <c r="V52" s="128"/>
      <c r="W52" s="128"/>
      <c r="X52" s="130" t="str">
        <f>IFERROR(IF(Q52="Probabilidad",(I52-(+I52*T52)),IF(Q52="Impacto",I52,"")),"")</f>
        <v/>
      </c>
      <c r="Y52" s="131" t="str">
        <f>IFERROR(IF(X52="","",IF(X52&lt;=0.2,"Muy Baja",IF(X52&lt;=0.4,"Baja",IF(X52&lt;=0.6,"Media",IF(X52&lt;=0.8,"Alta","Muy Alta"))))),"")</f>
        <v/>
      </c>
      <c r="Z52" s="132" t="str">
        <f>+X52</f>
        <v/>
      </c>
      <c r="AA52" s="131" t="str">
        <f>IFERROR(IF(AB52="","",IF(AB52&lt;=0.2,"Leve",IF(AB52&lt;=0.4,"Menor",IF(AB52&lt;=0.6,"Moderado",IF(AB52&lt;=0.8,"Mayor","Catastrófico"))))),"")</f>
        <v/>
      </c>
      <c r="AB52" s="140" t="str">
        <f>IFERROR(IF(Q52="Impacto",(M52-(+M52*T52)),IF(Q52="Probabilidad",M52,"")),"")</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15"/>
      <c r="B53" s="218"/>
      <c r="C53" s="218"/>
      <c r="D53" s="218"/>
      <c r="E53" s="221"/>
      <c r="F53" s="218"/>
      <c r="G53" s="224"/>
      <c r="H53" s="227"/>
      <c r="I53" s="209"/>
      <c r="J53" s="230"/>
      <c r="K53" s="209">
        <f ca="1">IF(NOT(ISERROR(MATCH(J53,_xlfn.ANCHORARRAY(E64),0))),I66&amp;"Por favor no seleccionar los criterios de impacto",J53)</f>
        <v>0</v>
      </c>
      <c r="L53" s="227"/>
      <c r="M53" s="209"/>
      <c r="N53" s="212"/>
      <c r="O53" s="125">
        <v>2</v>
      </c>
      <c r="P53" s="126"/>
      <c r="Q53" s="127" t="str">
        <f>IF(OR(R53="Preventivo",R53="Detectivo"),"Probabilidad",IF(R53="Correctivo","Impacto",""))</f>
        <v/>
      </c>
      <c r="R53" s="128"/>
      <c r="S53" s="128"/>
      <c r="T53" s="129" t="str">
        <f t="shared" ref="T53:T57" si="55">IF(AND(R53="Preventivo",S53="Automático"),"50%",IF(AND(R53="Preventivo",S53="Manual"),"40%",IF(AND(R53="Detectivo",S53="Automático"),"40%",IF(AND(R53="Detectivo",S53="Manual"),"30%",IF(AND(R53="Correctivo",S53="Automático"),"35%",IF(AND(R53="Correctivo",S53="Manual"),"25%",""))))))</f>
        <v/>
      </c>
      <c r="U53" s="128"/>
      <c r="V53" s="128"/>
      <c r="W53" s="128"/>
      <c r="X53" s="130" t="str">
        <f>IFERROR(IF(AND(Q52="Probabilidad",Q53="Probabilidad"),(Z52-(+Z52*T53)),IF(Q53="Probabilidad",(I52-(+I52*T53)),IF(Q53="Impacto",Z52,""))),"")</f>
        <v/>
      </c>
      <c r="Y53" s="131" t="str">
        <f t="shared" si="1"/>
        <v/>
      </c>
      <c r="Z53" s="132" t="str">
        <f t="shared" ref="Z53:Z57" si="56">+X53</f>
        <v/>
      </c>
      <c r="AA53" s="131" t="str">
        <f t="shared" si="3"/>
        <v/>
      </c>
      <c r="AB53" s="140" t="str">
        <f>IFERROR(IF(AND(Q52="Impacto",Q53="Impacto"),(AB52-(+AB52*T53)),IF(Q53="Impacto",(M52-(+M52*T53)),IF(Q53="Probabilidad",AB52,""))),"")</f>
        <v/>
      </c>
      <c r="AC53" s="133"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15"/>
      <c r="B54" s="218"/>
      <c r="C54" s="218"/>
      <c r="D54" s="218"/>
      <c r="E54" s="221"/>
      <c r="F54" s="218"/>
      <c r="G54" s="224"/>
      <c r="H54" s="227"/>
      <c r="I54" s="209"/>
      <c r="J54" s="230"/>
      <c r="K54" s="209">
        <f ca="1">IF(NOT(ISERROR(MATCH(J54,_xlfn.ANCHORARRAY(E65),0))),I67&amp;"Por favor no seleccionar los criterios de impacto",J54)</f>
        <v>0</v>
      </c>
      <c r="L54" s="227"/>
      <c r="M54" s="209"/>
      <c r="N54" s="212"/>
      <c r="O54" s="125">
        <v>3</v>
      </c>
      <c r="P54" s="138"/>
      <c r="Q54" s="127" t="str">
        <f>IF(OR(R54="Preventivo",R54="Detectivo"),"Probabilidad",IF(R54="Correctivo","Impacto",""))</f>
        <v/>
      </c>
      <c r="R54" s="128"/>
      <c r="S54" s="128"/>
      <c r="T54" s="129" t="str">
        <f t="shared" si="55"/>
        <v/>
      </c>
      <c r="U54" s="128"/>
      <c r="V54" s="128"/>
      <c r="W54" s="128"/>
      <c r="X54" s="130" t="str">
        <f>IFERROR(IF(AND(Q53="Probabilidad",Q54="Probabilidad"),(Z53-(+Z53*T54)),IF(AND(Q53="Impacto",Q54="Probabilidad"),(Z52-(+Z52*T54)),IF(Q54="Impacto",Z53,""))),"")</f>
        <v/>
      </c>
      <c r="Y54" s="131" t="str">
        <f t="shared" si="1"/>
        <v/>
      </c>
      <c r="Z54" s="132" t="str">
        <f t="shared" si="56"/>
        <v/>
      </c>
      <c r="AA54" s="131" t="str">
        <f t="shared" si="3"/>
        <v/>
      </c>
      <c r="AB54" s="140" t="str">
        <f>IFERROR(IF(AND(Q53="Impacto",Q54="Impacto"),(AB53-(+AB53*T54)),IF(AND(Q53="Probabilidad",Q54="Impacto"),(AB52-(+AB52*T54)),IF(Q54="Probabilidad",AB53,""))),"")</f>
        <v/>
      </c>
      <c r="AC54" s="133" t="str">
        <f t="shared" si="57"/>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15"/>
      <c r="B55" s="218"/>
      <c r="C55" s="218"/>
      <c r="D55" s="218"/>
      <c r="E55" s="221"/>
      <c r="F55" s="218"/>
      <c r="G55" s="224"/>
      <c r="H55" s="227"/>
      <c r="I55" s="209"/>
      <c r="J55" s="230"/>
      <c r="K55" s="209">
        <f ca="1">IF(NOT(ISERROR(MATCH(J55,_xlfn.ANCHORARRAY(E66),0))),I68&amp;"Por favor no seleccionar los criterios de impacto",J55)</f>
        <v>0</v>
      </c>
      <c r="L55" s="227"/>
      <c r="M55" s="209"/>
      <c r="N55" s="212"/>
      <c r="O55" s="125">
        <v>4</v>
      </c>
      <c r="P55" s="126"/>
      <c r="Q55" s="127" t="str">
        <f t="shared" ref="Q55:Q57" si="58">IF(OR(R55="Preventivo",R55="Detectivo"),"Probabilidad",IF(R55="Correctivo","Impacto",""))</f>
        <v/>
      </c>
      <c r="R55" s="128"/>
      <c r="S55" s="128"/>
      <c r="T55" s="129" t="str">
        <f t="shared" si="55"/>
        <v/>
      </c>
      <c r="U55" s="128"/>
      <c r="V55" s="128"/>
      <c r="W55" s="128"/>
      <c r="X55" s="130" t="str">
        <f t="shared" ref="X55:X57" si="59">IFERROR(IF(AND(Q54="Probabilidad",Q55="Probabilidad"),(Z54-(+Z54*T55)),IF(AND(Q54="Impacto",Q55="Probabilidad"),(Z53-(+Z53*T55)),IF(Q55="Impacto",Z54,""))),"")</f>
        <v/>
      </c>
      <c r="Y55" s="131" t="str">
        <f t="shared" si="1"/>
        <v/>
      </c>
      <c r="Z55" s="132" t="str">
        <f t="shared" si="56"/>
        <v/>
      </c>
      <c r="AA55" s="131" t="str">
        <f t="shared" si="3"/>
        <v/>
      </c>
      <c r="AB55" s="140" t="str">
        <f t="shared" ref="AB55:AB57" si="60">IFERROR(IF(AND(Q54="Impacto",Q55="Impacto"),(AB54-(+AB54*T55)),IF(AND(Q54="Probabilidad",Q55="Impacto"),(AB53-(+AB53*T55)),IF(Q55="Probabilidad",AB54,""))),"")</f>
        <v/>
      </c>
      <c r="AC55" s="1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15"/>
      <c r="B56" s="218"/>
      <c r="C56" s="218"/>
      <c r="D56" s="218"/>
      <c r="E56" s="221"/>
      <c r="F56" s="218"/>
      <c r="G56" s="224"/>
      <c r="H56" s="227"/>
      <c r="I56" s="209"/>
      <c r="J56" s="230"/>
      <c r="K56" s="209">
        <f ca="1">IF(NOT(ISERROR(MATCH(J56,_xlfn.ANCHORARRAY(E67),0))),I69&amp;"Por favor no seleccionar los criterios de impacto",J56)</f>
        <v>0</v>
      </c>
      <c r="L56" s="227"/>
      <c r="M56" s="209"/>
      <c r="N56" s="212"/>
      <c r="O56" s="125">
        <v>5</v>
      </c>
      <c r="P56" s="126"/>
      <c r="Q56" s="127" t="str">
        <f t="shared" si="58"/>
        <v/>
      </c>
      <c r="R56" s="128"/>
      <c r="S56" s="128"/>
      <c r="T56" s="129" t="str">
        <f t="shared" si="55"/>
        <v/>
      </c>
      <c r="U56" s="128"/>
      <c r="V56" s="128"/>
      <c r="W56" s="128"/>
      <c r="X56" s="130" t="str">
        <f t="shared" si="59"/>
        <v/>
      </c>
      <c r="Y56" s="131" t="str">
        <f t="shared" si="1"/>
        <v/>
      </c>
      <c r="Z56" s="132" t="str">
        <f t="shared" si="56"/>
        <v/>
      </c>
      <c r="AA56" s="131" t="str">
        <f t="shared" si="3"/>
        <v/>
      </c>
      <c r="AB56" s="140" t="str">
        <f t="shared" si="60"/>
        <v/>
      </c>
      <c r="AC56" s="133"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16"/>
      <c r="B57" s="219"/>
      <c r="C57" s="219"/>
      <c r="D57" s="219"/>
      <c r="E57" s="222"/>
      <c r="F57" s="219"/>
      <c r="G57" s="225"/>
      <c r="H57" s="228"/>
      <c r="I57" s="210"/>
      <c r="J57" s="231"/>
      <c r="K57" s="210">
        <f ca="1">IF(NOT(ISERROR(MATCH(J57,_xlfn.ANCHORARRAY(E68),0))),I70&amp;"Por favor no seleccionar los criterios de impacto",J57)</f>
        <v>0</v>
      </c>
      <c r="L57" s="228"/>
      <c r="M57" s="210"/>
      <c r="N57" s="213"/>
      <c r="O57" s="125">
        <v>6</v>
      </c>
      <c r="P57" s="126"/>
      <c r="Q57" s="127" t="str">
        <f t="shared" si="58"/>
        <v/>
      </c>
      <c r="R57" s="128"/>
      <c r="S57" s="128"/>
      <c r="T57" s="129" t="str">
        <f t="shared" si="55"/>
        <v/>
      </c>
      <c r="U57" s="128"/>
      <c r="V57" s="128"/>
      <c r="W57" s="128"/>
      <c r="X57" s="130" t="str">
        <f t="shared" si="59"/>
        <v/>
      </c>
      <c r="Y57" s="131" t="str">
        <f t="shared" si="1"/>
        <v/>
      </c>
      <c r="Z57" s="132" t="str">
        <f t="shared" si="56"/>
        <v/>
      </c>
      <c r="AA57" s="131" t="str">
        <f t="shared" si="3"/>
        <v/>
      </c>
      <c r="AB57" s="140" t="str">
        <f t="shared" si="60"/>
        <v/>
      </c>
      <c r="AC57" s="133" t="str">
        <f t="shared" si="61"/>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14">
        <v>9</v>
      </c>
      <c r="B58" s="217"/>
      <c r="C58" s="217"/>
      <c r="D58" s="217"/>
      <c r="E58" s="220"/>
      <c r="F58" s="217"/>
      <c r="G58" s="223"/>
      <c r="H58" s="226" t="str">
        <f>IF(G58&lt;=0,"",IF(G58&lt;=2,"Muy Baja",IF(G58&lt;=24,"Baja",IF(G58&lt;=500,"Media",IF(G58&lt;=5000,"Alta","Muy Alta")))))</f>
        <v/>
      </c>
      <c r="I58" s="208" t="str">
        <f>IF(H58="","",IF(H58="Muy Baja",0.2,IF(H58="Baja",0.4,IF(H58="Media",0.6,IF(H58="Alta",0.8,IF(H58="Muy Alta",1,))))))</f>
        <v/>
      </c>
      <c r="J58" s="229"/>
      <c r="K58" s="208">
        <f ca="1">IF(NOT(ISERROR(MATCH(J58,'Tabla Impacto'!$B$221:$B$223,0))),'Tabla Impacto'!$F$223&amp;"Por favor no seleccionar los criterios de impacto(Afectación Económica o presupuestal y Pérdida Reputacional)",J58)</f>
        <v>0</v>
      </c>
      <c r="L58" s="226" t="str">
        <f ca="1">IF(OR(K58='Tabla Impacto'!$C$11,K58='Tabla Impacto'!$D$11),"Leve",IF(OR(K58='Tabla Impacto'!$C$12,K58='Tabla Impacto'!$D$12),"Menor",IF(OR(K58='Tabla Impacto'!$C$13,K58='Tabla Impacto'!$D$13),"Moderado",IF(OR(K58='Tabla Impacto'!$C$14,K58='Tabla Impacto'!$D$14),"Mayor",IF(OR(K58='Tabla Impacto'!$C$15,K58='Tabla Impacto'!$D$15),"Catastrófico","")))))</f>
        <v/>
      </c>
      <c r="M58" s="208" t="str">
        <f ca="1">IF(L58="","",IF(L58="Leve",0.2,IF(L58="Menor",0.4,IF(L58="Moderado",0.6,IF(L58="Mayor",0.8,IF(L58="Catastrófico",1,))))))</f>
        <v/>
      </c>
      <c r="N58" s="211"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5">
        <v>1</v>
      </c>
      <c r="P58" s="126"/>
      <c r="Q58" s="127" t="str">
        <f>IF(OR(R58="Preventivo",R58="Detectivo"),"Probabilidad",IF(R58="Correctivo","Impacto",""))</f>
        <v/>
      </c>
      <c r="R58" s="128"/>
      <c r="S58" s="128"/>
      <c r="T58" s="129" t="str">
        <f>IF(AND(R58="Preventivo",S58="Automático"),"50%",IF(AND(R58="Preventivo",S58="Manual"),"40%",IF(AND(R58="Detectivo",S58="Automático"),"40%",IF(AND(R58="Detectivo",S58="Manual"),"30%",IF(AND(R58="Correctivo",S58="Automático"),"35%",IF(AND(R58="Correctivo",S58="Manual"),"25%",""))))))</f>
        <v/>
      </c>
      <c r="U58" s="128"/>
      <c r="V58" s="128"/>
      <c r="W58" s="128"/>
      <c r="X58" s="130" t="str">
        <f>IFERROR(IF(Q58="Probabilidad",(I58-(+I58*T58)),IF(Q58="Impacto",I58,"")),"")</f>
        <v/>
      </c>
      <c r="Y58" s="131" t="str">
        <f>IFERROR(IF(X58="","",IF(X58&lt;=0.2,"Muy Baja",IF(X58&lt;=0.4,"Baja",IF(X58&lt;=0.6,"Media",IF(X58&lt;=0.8,"Alta","Muy Alta"))))),"")</f>
        <v/>
      </c>
      <c r="Z58" s="132" t="str">
        <f>+X58</f>
        <v/>
      </c>
      <c r="AA58" s="131" t="str">
        <f>IFERROR(IF(AB58="","",IF(AB58&lt;=0.2,"Leve",IF(AB58&lt;=0.4,"Menor",IF(AB58&lt;=0.6,"Moderado",IF(AB58&lt;=0.8,"Mayor","Catastrófico"))))),"")</f>
        <v/>
      </c>
      <c r="AB58" s="140" t="str">
        <f>IFERROR(IF(Q58="Impacto",(M58-(+M58*T58)),IF(Q58="Probabilidad",M58,"")),"")</f>
        <v/>
      </c>
      <c r="AC58" s="13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15"/>
      <c r="B59" s="218"/>
      <c r="C59" s="218"/>
      <c r="D59" s="218"/>
      <c r="E59" s="221"/>
      <c r="F59" s="218"/>
      <c r="G59" s="224"/>
      <c r="H59" s="227"/>
      <c r="I59" s="209"/>
      <c r="J59" s="230"/>
      <c r="K59" s="209">
        <f ca="1">IF(NOT(ISERROR(MATCH(J59,_xlfn.ANCHORARRAY(E70),0))),I72&amp;"Por favor no seleccionar los criterios de impacto",J59)</f>
        <v>0</v>
      </c>
      <c r="L59" s="227"/>
      <c r="M59" s="209"/>
      <c r="N59" s="212"/>
      <c r="O59" s="125">
        <v>2</v>
      </c>
      <c r="P59" s="126"/>
      <c r="Q59" s="127" t="str">
        <f>IF(OR(R59="Preventivo",R59="Detectivo"),"Probabilidad",IF(R59="Correctivo","Impacto",""))</f>
        <v/>
      </c>
      <c r="R59" s="128"/>
      <c r="S59" s="128"/>
      <c r="T59" s="129" t="str">
        <f t="shared" ref="T59:T63" si="62">IF(AND(R59="Preventivo",S59="Automático"),"50%",IF(AND(R59="Preventivo",S59="Manual"),"40%",IF(AND(R59="Detectivo",S59="Automático"),"40%",IF(AND(R59="Detectivo",S59="Manual"),"30%",IF(AND(R59="Correctivo",S59="Automático"),"35%",IF(AND(R59="Correctivo",S59="Manual"),"25%",""))))))</f>
        <v/>
      </c>
      <c r="U59" s="128"/>
      <c r="V59" s="128"/>
      <c r="W59" s="128"/>
      <c r="X59" s="130" t="str">
        <f>IFERROR(IF(AND(Q58="Probabilidad",Q59="Probabilidad"),(Z58-(+Z58*T59)),IF(Q59="Probabilidad",(I58-(+I58*T59)),IF(Q59="Impacto",Z58,""))),"")</f>
        <v/>
      </c>
      <c r="Y59" s="131" t="str">
        <f t="shared" si="1"/>
        <v/>
      </c>
      <c r="Z59" s="132" t="str">
        <f t="shared" ref="Z59:Z63" si="63">+X59</f>
        <v/>
      </c>
      <c r="AA59" s="131" t="str">
        <f t="shared" si="3"/>
        <v/>
      </c>
      <c r="AB59" s="140" t="str">
        <f>IFERROR(IF(AND(Q58="Impacto",Q59="Impacto"),(AB58-(+AB58*T59)),IF(Q59="Impacto",(M58-(+M58*T59)),IF(Q59="Probabilidad",AB58,""))),"")</f>
        <v/>
      </c>
      <c r="AC59" s="133"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15"/>
      <c r="B60" s="218"/>
      <c r="C60" s="218"/>
      <c r="D60" s="218"/>
      <c r="E60" s="221"/>
      <c r="F60" s="218"/>
      <c r="G60" s="224"/>
      <c r="H60" s="227"/>
      <c r="I60" s="209"/>
      <c r="J60" s="230"/>
      <c r="K60" s="209">
        <f ca="1">IF(NOT(ISERROR(MATCH(J60,_xlfn.ANCHORARRAY(E71),0))),I73&amp;"Por favor no seleccionar los criterios de impacto",J60)</f>
        <v>0</v>
      </c>
      <c r="L60" s="227"/>
      <c r="M60" s="209"/>
      <c r="N60" s="212"/>
      <c r="O60" s="125">
        <v>3</v>
      </c>
      <c r="P60" s="138"/>
      <c r="Q60" s="127" t="str">
        <f>IF(OR(R60="Preventivo",R60="Detectivo"),"Probabilidad",IF(R60="Correctivo","Impacto",""))</f>
        <v/>
      </c>
      <c r="R60" s="128"/>
      <c r="S60" s="128"/>
      <c r="T60" s="129" t="str">
        <f t="shared" si="62"/>
        <v/>
      </c>
      <c r="U60" s="128"/>
      <c r="V60" s="128"/>
      <c r="W60" s="128"/>
      <c r="X60" s="130" t="str">
        <f>IFERROR(IF(AND(Q59="Probabilidad",Q60="Probabilidad"),(Z59-(+Z59*T60)),IF(AND(Q59="Impacto",Q60="Probabilidad"),(Z58-(+Z58*T60)),IF(Q60="Impacto",Z59,""))),"")</f>
        <v/>
      </c>
      <c r="Y60" s="131" t="str">
        <f t="shared" si="1"/>
        <v/>
      </c>
      <c r="Z60" s="132" t="str">
        <f t="shared" si="63"/>
        <v/>
      </c>
      <c r="AA60" s="131" t="str">
        <f t="shared" si="3"/>
        <v/>
      </c>
      <c r="AB60" s="140" t="str">
        <f>IFERROR(IF(AND(Q59="Impacto",Q60="Impacto"),(AB59-(+AB59*T60)),IF(AND(Q59="Probabilidad",Q60="Impacto"),(AB58-(+AB58*T60)),IF(Q60="Probabilidad",AB59,""))),"")</f>
        <v/>
      </c>
      <c r="AC60" s="133" t="str">
        <f t="shared" si="64"/>
        <v/>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15"/>
      <c r="B61" s="218"/>
      <c r="C61" s="218"/>
      <c r="D61" s="218"/>
      <c r="E61" s="221"/>
      <c r="F61" s="218"/>
      <c r="G61" s="224"/>
      <c r="H61" s="227"/>
      <c r="I61" s="209"/>
      <c r="J61" s="230"/>
      <c r="K61" s="209">
        <f ca="1">IF(NOT(ISERROR(MATCH(J61,_xlfn.ANCHORARRAY(E72),0))),I74&amp;"Por favor no seleccionar los criterios de impacto",J61)</f>
        <v>0</v>
      </c>
      <c r="L61" s="227"/>
      <c r="M61" s="209"/>
      <c r="N61" s="212"/>
      <c r="O61" s="125">
        <v>4</v>
      </c>
      <c r="P61" s="126"/>
      <c r="Q61" s="127" t="str">
        <f t="shared" ref="Q61:Q63" si="65">IF(OR(R61="Preventivo",R61="Detectivo"),"Probabilidad",IF(R61="Correctivo","Impacto",""))</f>
        <v/>
      </c>
      <c r="R61" s="128"/>
      <c r="S61" s="128"/>
      <c r="T61" s="129" t="str">
        <f t="shared" si="62"/>
        <v/>
      </c>
      <c r="U61" s="128"/>
      <c r="V61" s="128"/>
      <c r="W61" s="128"/>
      <c r="X61" s="130" t="str">
        <f t="shared" ref="X61:X63" si="66">IFERROR(IF(AND(Q60="Probabilidad",Q61="Probabilidad"),(Z60-(+Z60*T61)),IF(AND(Q60="Impacto",Q61="Probabilidad"),(Z59-(+Z59*T61)),IF(Q61="Impacto",Z60,""))),"")</f>
        <v/>
      </c>
      <c r="Y61" s="131" t="str">
        <f t="shared" si="1"/>
        <v/>
      </c>
      <c r="Z61" s="132" t="str">
        <f t="shared" si="63"/>
        <v/>
      </c>
      <c r="AA61" s="131" t="str">
        <f t="shared" si="3"/>
        <v/>
      </c>
      <c r="AB61" s="140" t="str">
        <f t="shared" ref="AB61:AB63" si="67">IFERROR(IF(AND(Q60="Impacto",Q61="Impacto"),(AB60-(+AB60*T61)),IF(AND(Q60="Probabilidad",Q61="Impacto"),(AB59-(+AB59*T61)),IF(Q61="Probabilidad",AB60,""))),"")</f>
        <v/>
      </c>
      <c r="AC61" s="13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15"/>
      <c r="B62" s="218"/>
      <c r="C62" s="218"/>
      <c r="D62" s="218"/>
      <c r="E62" s="221"/>
      <c r="F62" s="218"/>
      <c r="G62" s="224"/>
      <c r="H62" s="227"/>
      <c r="I62" s="209"/>
      <c r="J62" s="230"/>
      <c r="K62" s="209">
        <f ca="1">IF(NOT(ISERROR(MATCH(J62,_xlfn.ANCHORARRAY(E73),0))),I75&amp;"Por favor no seleccionar los criterios de impacto",J62)</f>
        <v>0</v>
      </c>
      <c r="L62" s="227"/>
      <c r="M62" s="209"/>
      <c r="N62" s="212"/>
      <c r="O62" s="125">
        <v>5</v>
      </c>
      <c r="P62" s="126"/>
      <c r="Q62" s="127" t="str">
        <f t="shared" si="65"/>
        <v/>
      </c>
      <c r="R62" s="128"/>
      <c r="S62" s="128"/>
      <c r="T62" s="129" t="str">
        <f t="shared" si="62"/>
        <v/>
      </c>
      <c r="U62" s="128"/>
      <c r="V62" s="128"/>
      <c r="W62" s="128"/>
      <c r="X62" s="130" t="str">
        <f t="shared" si="66"/>
        <v/>
      </c>
      <c r="Y62" s="131" t="str">
        <f t="shared" si="1"/>
        <v/>
      </c>
      <c r="Z62" s="132" t="str">
        <f t="shared" si="63"/>
        <v/>
      </c>
      <c r="AA62" s="131" t="str">
        <f t="shared" si="3"/>
        <v/>
      </c>
      <c r="AB62" s="140" t="str">
        <f t="shared" si="67"/>
        <v/>
      </c>
      <c r="AC62" s="133"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16"/>
      <c r="B63" s="219"/>
      <c r="C63" s="219"/>
      <c r="D63" s="219"/>
      <c r="E63" s="222"/>
      <c r="F63" s="219"/>
      <c r="G63" s="225"/>
      <c r="H63" s="228"/>
      <c r="I63" s="210"/>
      <c r="J63" s="231"/>
      <c r="K63" s="210">
        <f ca="1">IF(NOT(ISERROR(MATCH(J63,_xlfn.ANCHORARRAY(E74),0))),I76&amp;"Por favor no seleccionar los criterios de impacto",J63)</f>
        <v>0</v>
      </c>
      <c r="L63" s="228"/>
      <c r="M63" s="210"/>
      <c r="N63" s="213"/>
      <c r="O63" s="125">
        <v>6</v>
      </c>
      <c r="P63" s="126"/>
      <c r="Q63" s="127" t="str">
        <f t="shared" si="65"/>
        <v/>
      </c>
      <c r="R63" s="128"/>
      <c r="S63" s="128"/>
      <c r="T63" s="129" t="str">
        <f t="shared" si="62"/>
        <v/>
      </c>
      <c r="U63" s="128"/>
      <c r="V63" s="128"/>
      <c r="W63" s="128"/>
      <c r="X63" s="130" t="str">
        <f t="shared" si="66"/>
        <v/>
      </c>
      <c r="Y63" s="131" t="str">
        <f t="shared" si="1"/>
        <v/>
      </c>
      <c r="Z63" s="132" t="str">
        <f t="shared" si="63"/>
        <v/>
      </c>
      <c r="AA63" s="131" t="str">
        <f t="shared" si="3"/>
        <v/>
      </c>
      <c r="AB63" s="140" t="str">
        <f t="shared" si="67"/>
        <v/>
      </c>
      <c r="AC63" s="133" t="str">
        <f t="shared" si="68"/>
        <v/>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14">
        <v>10</v>
      </c>
      <c r="B64" s="217"/>
      <c r="C64" s="217"/>
      <c r="D64" s="217"/>
      <c r="E64" s="220"/>
      <c r="F64" s="217"/>
      <c r="G64" s="223"/>
      <c r="H64" s="226" t="str">
        <f>IF(G64&lt;=0,"",IF(G64&lt;=2,"Muy Baja",IF(G64&lt;=24,"Baja",IF(G64&lt;=500,"Media",IF(G64&lt;=5000,"Alta","Muy Alta")))))</f>
        <v/>
      </c>
      <c r="I64" s="208" t="str">
        <f>IF(H64="","",IF(H64="Muy Baja",0.2,IF(H64="Baja",0.4,IF(H64="Media",0.6,IF(H64="Alta",0.8,IF(H64="Muy Alta",1,))))))</f>
        <v/>
      </c>
      <c r="J64" s="229"/>
      <c r="K64" s="208">
        <f ca="1">IF(NOT(ISERROR(MATCH(J64,'Tabla Impacto'!$B$221:$B$223,0))),'Tabla Impacto'!$F$223&amp;"Por favor no seleccionar los criterios de impacto(Afectación Económica o presupuestal y Pérdida Reputacional)",J64)</f>
        <v>0</v>
      </c>
      <c r="L64" s="226" t="str">
        <f ca="1">IF(OR(K64='Tabla Impacto'!$C$11,K64='Tabla Impacto'!$D$11),"Leve",IF(OR(K64='Tabla Impacto'!$C$12,K64='Tabla Impacto'!$D$12),"Menor",IF(OR(K64='Tabla Impacto'!$C$13,K64='Tabla Impacto'!$D$13),"Moderado",IF(OR(K64='Tabla Impacto'!$C$14,K64='Tabla Impacto'!$D$14),"Mayor",IF(OR(K64='Tabla Impacto'!$C$15,K64='Tabla Impacto'!$D$15),"Catastrófico","")))))</f>
        <v/>
      </c>
      <c r="M64" s="208" t="str">
        <f ca="1">IF(L64="","",IF(L64="Leve",0.2,IF(L64="Menor",0.4,IF(L64="Moderado",0.6,IF(L64="Mayor",0.8,IF(L64="Catastrófico",1,))))))</f>
        <v/>
      </c>
      <c r="N64" s="211"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5">
        <v>1</v>
      </c>
      <c r="P64" s="126"/>
      <c r="Q64" s="127" t="str">
        <f>IF(OR(R64="Preventivo",R64="Detectivo"),"Probabilidad",IF(R64="Correctivo","Impacto",""))</f>
        <v/>
      </c>
      <c r="R64" s="128"/>
      <c r="S64" s="128"/>
      <c r="T64" s="129" t="str">
        <f>IF(AND(R64="Preventivo",S64="Automático"),"50%",IF(AND(R64="Preventivo",S64="Manual"),"40%",IF(AND(R64="Detectivo",S64="Automático"),"40%",IF(AND(R64="Detectivo",S64="Manual"),"30%",IF(AND(R64="Correctivo",S64="Automático"),"35%",IF(AND(R64="Correctivo",S64="Manual"),"25%",""))))))</f>
        <v/>
      </c>
      <c r="U64" s="128"/>
      <c r="V64" s="128"/>
      <c r="W64" s="128"/>
      <c r="X64" s="130" t="str">
        <f>IFERROR(IF(Q64="Probabilidad",(I64-(+I64*T64)),IF(Q64="Impacto",I64,"")),"")</f>
        <v/>
      </c>
      <c r="Y64" s="131" t="str">
        <f>IFERROR(IF(X64="","",IF(X64&lt;=0.2,"Muy Baja",IF(X64&lt;=0.4,"Baja",IF(X64&lt;=0.6,"Media",IF(X64&lt;=0.8,"Alta","Muy Alta"))))),"")</f>
        <v/>
      </c>
      <c r="Z64" s="132" t="str">
        <f>+X64</f>
        <v/>
      </c>
      <c r="AA64" s="131" t="str">
        <f>IFERROR(IF(AB64="","",IF(AB64&lt;=0.2,"Leve",IF(AB64&lt;=0.4,"Menor",IF(AB64&lt;=0.6,"Moderado",IF(AB64&lt;=0.8,"Mayor","Catastrófico"))))),"")</f>
        <v/>
      </c>
      <c r="AB64" s="140" t="str">
        <f>IFERROR(IF(Q64="Impacto",(M64-(+M64*T64)),IF(Q64="Probabilidad",M64,"")),"")</f>
        <v/>
      </c>
      <c r="AC64" s="13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15"/>
      <c r="B65" s="218"/>
      <c r="C65" s="218"/>
      <c r="D65" s="218"/>
      <c r="E65" s="221"/>
      <c r="F65" s="218"/>
      <c r="G65" s="224"/>
      <c r="H65" s="227"/>
      <c r="I65" s="209"/>
      <c r="J65" s="230"/>
      <c r="K65" s="209">
        <f ca="1">IF(NOT(ISERROR(MATCH(J65,_xlfn.ANCHORARRAY(E76),0))),I78&amp;"Por favor no seleccionar los criterios de impacto",J65)</f>
        <v>0</v>
      </c>
      <c r="L65" s="227"/>
      <c r="M65" s="209"/>
      <c r="N65" s="212"/>
      <c r="O65" s="125">
        <v>2</v>
      </c>
      <c r="P65" s="126"/>
      <c r="Q65" s="127" t="str">
        <f>IF(OR(R65="Preventivo",R65="Detectivo"),"Probabilidad",IF(R65="Correctivo","Impacto",""))</f>
        <v/>
      </c>
      <c r="R65" s="128"/>
      <c r="S65" s="128"/>
      <c r="T65" s="129" t="str">
        <f t="shared" ref="T65:T69" si="69">IF(AND(R65="Preventivo",S65="Automático"),"50%",IF(AND(R65="Preventivo",S65="Manual"),"40%",IF(AND(R65="Detectivo",S65="Automático"),"40%",IF(AND(R65="Detectivo",S65="Manual"),"30%",IF(AND(R65="Correctivo",S65="Automático"),"35%",IF(AND(R65="Correctivo",S65="Manual"),"25%",""))))))</f>
        <v/>
      </c>
      <c r="U65" s="128"/>
      <c r="V65" s="128"/>
      <c r="W65" s="128"/>
      <c r="X65" s="130" t="str">
        <f>IFERROR(IF(AND(Q64="Probabilidad",Q65="Probabilidad"),(Z64-(+Z64*T65)),IF(Q65="Probabilidad",(I64-(+I64*T65)),IF(Q65="Impacto",Z64,""))),"")</f>
        <v/>
      </c>
      <c r="Y65" s="131" t="str">
        <f t="shared" si="1"/>
        <v/>
      </c>
      <c r="Z65" s="132" t="str">
        <f t="shared" ref="Z65:Z69" si="70">+X65</f>
        <v/>
      </c>
      <c r="AA65" s="131" t="str">
        <f t="shared" si="3"/>
        <v/>
      </c>
      <c r="AB65" s="140" t="str">
        <f>IFERROR(IF(AND(Q64="Impacto",Q65="Impacto"),(AB64-(+AB64*T65)),IF(Q65="Impacto",(M64-(+M64*T65)),IF(Q65="Probabilidad",AB64,""))),"")</f>
        <v/>
      </c>
      <c r="AC65" s="133"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4"/>
      <c r="AE65" s="135"/>
      <c r="AF65" s="136"/>
      <c r="AG65" s="137"/>
      <c r="AH65" s="137"/>
      <c r="AI65" s="135"/>
      <c r="AJ65" s="136"/>
    </row>
    <row r="66" spans="1:36" ht="151.5" customHeight="1" x14ac:dyDescent="0.3">
      <c r="A66" s="215"/>
      <c r="B66" s="218"/>
      <c r="C66" s="218"/>
      <c r="D66" s="218"/>
      <c r="E66" s="221"/>
      <c r="F66" s="218"/>
      <c r="G66" s="224"/>
      <c r="H66" s="227"/>
      <c r="I66" s="209"/>
      <c r="J66" s="230"/>
      <c r="K66" s="209">
        <f ca="1">IF(NOT(ISERROR(MATCH(J66,_xlfn.ANCHORARRAY(E77),0))),I79&amp;"Por favor no seleccionar los criterios de impacto",J66)</f>
        <v>0</v>
      </c>
      <c r="L66" s="227"/>
      <c r="M66" s="209"/>
      <c r="N66" s="212"/>
      <c r="O66" s="125">
        <v>3</v>
      </c>
      <c r="P66" s="138"/>
      <c r="Q66" s="127" t="str">
        <f>IF(OR(R66="Preventivo",R66="Detectivo"),"Probabilidad",IF(R66="Correctivo","Impacto",""))</f>
        <v/>
      </c>
      <c r="R66" s="128"/>
      <c r="S66" s="128"/>
      <c r="T66" s="129" t="str">
        <f t="shared" si="69"/>
        <v/>
      </c>
      <c r="U66" s="128"/>
      <c r="V66" s="128"/>
      <c r="W66" s="128"/>
      <c r="X66" s="130" t="str">
        <f>IFERROR(IF(AND(Q65="Probabilidad",Q66="Probabilidad"),(Z65-(+Z65*T66)),IF(AND(Q65="Impacto",Q66="Probabilidad"),(Z64-(+Z64*T66)),IF(Q66="Impacto",Z65,""))),"")</f>
        <v/>
      </c>
      <c r="Y66" s="131" t="str">
        <f t="shared" si="1"/>
        <v/>
      </c>
      <c r="Z66" s="132" t="str">
        <f t="shared" si="70"/>
        <v/>
      </c>
      <c r="AA66" s="131" t="str">
        <f t="shared" si="3"/>
        <v/>
      </c>
      <c r="AB66" s="140" t="str">
        <f>IFERROR(IF(AND(Q65="Impacto",Q66="Impacto"),(AB65-(+AB65*T66)),IF(AND(Q65="Probabilidad",Q66="Impacto"),(AB64-(+AB64*T66)),IF(Q66="Probabilidad",AB65,""))),"")</f>
        <v/>
      </c>
      <c r="AC66" s="133" t="str">
        <f t="shared" si="71"/>
        <v/>
      </c>
      <c r="AD66" s="134"/>
      <c r="AE66" s="135"/>
      <c r="AF66" s="136"/>
      <c r="AG66" s="137"/>
      <c r="AH66" s="137"/>
      <c r="AI66" s="135"/>
      <c r="AJ66" s="136"/>
    </row>
    <row r="67" spans="1:36" ht="151.5" customHeight="1" x14ac:dyDescent="0.3">
      <c r="A67" s="215"/>
      <c r="B67" s="218"/>
      <c r="C67" s="218"/>
      <c r="D67" s="218"/>
      <c r="E67" s="221"/>
      <c r="F67" s="218"/>
      <c r="G67" s="224"/>
      <c r="H67" s="227"/>
      <c r="I67" s="209"/>
      <c r="J67" s="230"/>
      <c r="K67" s="209">
        <f ca="1">IF(NOT(ISERROR(MATCH(J67,_xlfn.ANCHORARRAY(E78),0))),I80&amp;"Por favor no seleccionar los criterios de impacto",J67)</f>
        <v>0</v>
      </c>
      <c r="L67" s="227"/>
      <c r="M67" s="209"/>
      <c r="N67" s="212"/>
      <c r="O67" s="125">
        <v>4</v>
      </c>
      <c r="P67" s="126"/>
      <c r="Q67" s="127" t="str">
        <f t="shared" ref="Q67:Q69" si="72">IF(OR(R67="Preventivo",R67="Detectivo"),"Probabilidad",IF(R67="Correctivo","Impacto",""))</f>
        <v/>
      </c>
      <c r="R67" s="128"/>
      <c r="S67" s="128"/>
      <c r="T67" s="129" t="str">
        <f t="shared" si="69"/>
        <v/>
      </c>
      <c r="U67" s="128"/>
      <c r="V67" s="128"/>
      <c r="W67" s="128"/>
      <c r="X67" s="130" t="str">
        <f t="shared" ref="X67:X69" si="73">IFERROR(IF(AND(Q66="Probabilidad",Q67="Probabilidad"),(Z66-(+Z66*T67)),IF(AND(Q66="Impacto",Q67="Probabilidad"),(Z65-(+Z65*T67)),IF(Q67="Impacto",Z66,""))),"")</f>
        <v/>
      </c>
      <c r="Y67" s="131" t="str">
        <f t="shared" si="1"/>
        <v/>
      </c>
      <c r="Z67" s="132" t="str">
        <f t="shared" si="70"/>
        <v/>
      </c>
      <c r="AA67" s="131" t="str">
        <f t="shared" si="3"/>
        <v/>
      </c>
      <c r="AB67" s="140" t="str">
        <f t="shared" ref="AB67:AB69" si="74">IFERROR(IF(AND(Q66="Impacto",Q67="Impacto"),(AB66-(+AB66*T67)),IF(AND(Q66="Probabilidad",Q67="Impacto"),(AB65-(+AB65*T67)),IF(Q67="Probabilidad",AB66,""))),"")</f>
        <v/>
      </c>
      <c r="AC67" s="13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4"/>
      <c r="AE67" s="135"/>
      <c r="AF67" s="136"/>
      <c r="AG67" s="137"/>
      <c r="AH67" s="137"/>
      <c r="AI67" s="135"/>
      <c r="AJ67" s="136"/>
    </row>
    <row r="68" spans="1:36" ht="151.5" customHeight="1" x14ac:dyDescent="0.3">
      <c r="A68" s="215"/>
      <c r="B68" s="218"/>
      <c r="C68" s="218"/>
      <c r="D68" s="218"/>
      <c r="E68" s="221"/>
      <c r="F68" s="218"/>
      <c r="G68" s="224"/>
      <c r="H68" s="227"/>
      <c r="I68" s="209"/>
      <c r="J68" s="230"/>
      <c r="K68" s="209">
        <f ca="1">IF(NOT(ISERROR(MATCH(J68,_xlfn.ANCHORARRAY(E79),0))),I81&amp;"Por favor no seleccionar los criterios de impacto",J68)</f>
        <v>0</v>
      </c>
      <c r="L68" s="227"/>
      <c r="M68" s="209"/>
      <c r="N68" s="212"/>
      <c r="O68" s="125">
        <v>5</v>
      </c>
      <c r="P68" s="126"/>
      <c r="Q68" s="127" t="str">
        <f t="shared" si="72"/>
        <v/>
      </c>
      <c r="R68" s="128"/>
      <c r="S68" s="128"/>
      <c r="T68" s="129" t="str">
        <f t="shared" si="69"/>
        <v/>
      </c>
      <c r="U68" s="128"/>
      <c r="V68" s="128"/>
      <c r="W68" s="128"/>
      <c r="X68" s="130" t="str">
        <f t="shared" si="73"/>
        <v/>
      </c>
      <c r="Y68" s="131" t="str">
        <f t="shared" si="1"/>
        <v/>
      </c>
      <c r="Z68" s="132" t="str">
        <f t="shared" si="70"/>
        <v/>
      </c>
      <c r="AA68" s="131" t="str">
        <f t="shared" si="3"/>
        <v/>
      </c>
      <c r="AB68" s="140" t="str">
        <f t="shared" si="74"/>
        <v/>
      </c>
      <c r="AC68" s="133"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4"/>
      <c r="AE68" s="135"/>
      <c r="AF68" s="136"/>
      <c r="AG68" s="137"/>
      <c r="AH68" s="137"/>
      <c r="AI68" s="135"/>
      <c r="AJ68" s="136"/>
    </row>
    <row r="69" spans="1:36" ht="151.5" customHeight="1" x14ac:dyDescent="0.3">
      <c r="A69" s="216"/>
      <c r="B69" s="219"/>
      <c r="C69" s="219"/>
      <c r="D69" s="219"/>
      <c r="E69" s="222"/>
      <c r="F69" s="219"/>
      <c r="G69" s="225"/>
      <c r="H69" s="228"/>
      <c r="I69" s="210"/>
      <c r="J69" s="231"/>
      <c r="K69" s="210">
        <f ca="1">IF(NOT(ISERROR(MATCH(J69,_xlfn.ANCHORARRAY(E80),0))),I82&amp;"Por favor no seleccionar los criterios de impacto",J69)</f>
        <v>0</v>
      </c>
      <c r="L69" s="228"/>
      <c r="M69" s="210"/>
      <c r="N69" s="213"/>
      <c r="O69" s="125">
        <v>6</v>
      </c>
      <c r="P69" s="126"/>
      <c r="Q69" s="127" t="str">
        <f t="shared" si="72"/>
        <v/>
      </c>
      <c r="R69" s="128"/>
      <c r="S69" s="128"/>
      <c r="T69" s="129" t="str">
        <f t="shared" si="69"/>
        <v/>
      </c>
      <c r="U69" s="128"/>
      <c r="V69" s="128"/>
      <c r="W69" s="128"/>
      <c r="X69" s="130" t="str">
        <f t="shared" si="73"/>
        <v/>
      </c>
      <c r="Y69" s="131" t="str">
        <f t="shared" si="1"/>
        <v/>
      </c>
      <c r="Z69" s="132" t="str">
        <f t="shared" si="70"/>
        <v/>
      </c>
      <c r="AA69" s="131" t="str">
        <f t="shared" si="3"/>
        <v/>
      </c>
      <c r="AB69" s="140" t="str">
        <f t="shared" si="74"/>
        <v/>
      </c>
      <c r="AC69" s="133" t="str">
        <f t="shared" si="75"/>
        <v/>
      </c>
      <c r="AD69" s="134"/>
      <c r="AE69" s="135"/>
      <c r="AF69" s="136"/>
      <c r="AG69" s="137"/>
      <c r="AH69" s="137"/>
      <c r="AI69" s="135"/>
      <c r="AJ69" s="136"/>
    </row>
    <row r="70" spans="1:36" ht="49.5" customHeight="1" x14ac:dyDescent="0.3">
      <c r="A70" s="6"/>
      <c r="B70" s="205" t="s">
        <v>131</v>
      </c>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7"/>
    </row>
    <row r="72" spans="1:36" x14ac:dyDescent="0.3">
      <c r="A72" s="1"/>
      <c r="B72" s="24" t="s">
        <v>143</v>
      </c>
      <c r="C72" s="1"/>
      <c r="D72" s="1"/>
      <c r="F72" s="1"/>
    </row>
  </sheetData>
  <dataConsolidate/>
  <mergeCells count="185">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AA8:AA9"/>
    <mergeCell ref="Y8:Y9"/>
    <mergeCell ref="Z8:Z9"/>
    <mergeCell ref="G8:G9"/>
    <mergeCell ref="H8:H9"/>
    <mergeCell ref="I8:I9"/>
    <mergeCell ref="L8:L9"/>
    <mergeCell ref="M8:M9"/>
    <mergeCell ref="B8:B9"/>
    <mergeCell ref="N8:N9"/>
    <mergeCell ref="J8:J9"/>
    <mergeCell ref="K8:K9"/>
    <mergeCell ref="Q8:Q9"/>
    <mergeCell ref="R8:W8"/>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N64:N69"/>
    <mergeCell ref="J58:J63"/>
    <mergeCell ref="K58:K63"/>
    <mergeCell ref="L58:L63"/>
    <mergeCell ref="A58:A63"/>
    <mergeCell ref="B58:B63"/>
    <mergeCell ref="C58:C63"/>
    <mergeCell ref="D58:D63"/>
    <mergeCell ref="E58:E63"/>
    <mergeCell ref="F58:F63"/>
    <mergeCell ref="G58:G63"/>
    <mergeCell ref="H58:H63"/>
    <mergeCell ref="I58:I63"/>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s>
  <conditionalFormatting sqref="H10 H16">
    <cfRule type="cellIs" dxfId="234" priority="319" operator="equal">
      <formula>"Muy Alta"</formula>
    </cfRule>
    <cfRule type="cellIs" dxfId="233" priority="320" operator="equal">
      <formula>"Alta"</formula>
    </cfRule>
    <cfRule type="cellIs" dxfId="232" priority="321" operator="equal">
      <formula>"Media"</formula>
    </cfRule>
    <cfRule type="cellIs" dxfId="231" priority="322" operator="equal">
      <formula>"Baja"</formula>
    </cfRule>
    <cfRule type="cellIs" dxfId="230" priority="323" operator="equal">
      <formula>"Muy Baja"</formula>
    </cfRule>
  </conditionalFormatting>
  <conditionalFormatting sqref="L10 L16 L22 L28 L34 L40 L46 L52 L58 L64">
    <cfRule type="cellIs" dxfId="229" priority="314" operator="equal">
      <formula>"Catastrófico"</formula>
    </cfRule>
    <cfRule type="cellIs" dxfId="228" priority="315" operator="equal">
      <formula>"Mayor"</formula>
    </cfRule>
    <cfRule type="cellIs" dxfId="227" priority="316" operator="equal">
      <formula>"Moderado"</formula>
    </cfRule>
    <cfRule type="cellIs" dxfId="226" priority="317" operator="equal">
      <formula>"Menor"</formula>
    </cfRule>
    <cfRule type="cellIs" dxfId="225" priority="318" operator="equal">
      <formula>"Leve"</formula>
    </cfRule>
  </conditionalFormatting>
  <conditionalFormatting sqref="N10">
    <cfRule type="cellIs" dxfId="224" priority="310" operator="equal">
      <formula>"Extremo"</formula>
    </cfRule>
    <cfRule type="cellIs" dxfId="223" priority="311" operator="equal">
      <formula>"Alto"</formula>
    </cfRule>
    <cfRule type="cellIs" dxfId="222" priority="312" operator="equal">
      <formula>"Moderado"</formula>
    </cfRule>
    <cfRule type="cellIs" dxfId="221" priority="313" operator="equal">
      <formula>"Bajo"</formula>
    </cfRule>
  </conditionalFormatting>
  <conditionalFormatting sqref="Y10:Y15">
    <cfRule type="cellIs" dxfId="220" priority="305" operator="equal">
      <formula>"Muy Alta"</formula>
    </cfRule>
    <cfRule type="cellIs" dxfId="219" priority="306" operator="equal">
      <formula>"Alta"</formula>
    </cfRule>
    <cfRule type="cellIs" dxfId="218" priority="307" operator="equal">
      <formula>"Media"</formula>
    </cfRule>
    <cfRule type="cellIs" dxfId="217" priority="308" operator="equal">
      <formula>"Baja"</formula>
    </cfRule>
    <cfRule type="cellIs" dxfId="216" priority="309" operator="equal">
      <formula>"Muy Baja"</formula>
    </cfRule>
  </conditionalFormatting>
  <conditionalFormatting sqref="AA10:AA15">
    <cfRule type="cellIs" dxfId="215" priority="300" operator="equal">
      <formula>"Catastrófico"</formula>
    </cfRule>
    <cfRule type="cellIs" dxfId="214" priority="301" operator="equal">
      <formula>"Mayor"</formula>
    </cfRule>
    <cfRule type="cellIs" dxfId="213" priority="302" operator="equal">
      <formula>"Moderado"</formula>
    </cfRule>
    <cfRule type="cellIs" dxfId="212" priority="303" operator="equal">
      <formula>"Menor"</formula>
    </cfRule>
    <cfRule type="cellIs" dxfId="211" priority="304" operator="equal">
      <formula>"Leve"</formula>
    </cfRule>
  </conditionalFormatting>
  <conditionalFormatting sqref="AC10:AC15">
    <cfRule type="cellIs" dxfId="210" priority="296" operator="equal">
      <formula>"Extremo"</formula>
    </cfRule>
    <cfRule type="cellIs" dxfId="209" priority="297" operator="equal">
      <formula>"Alto"</formula>
    </cfRule>
    <cfRule type="cellIs" dxfId="208" priority="298" operator="equal">
      <formula>"Moderado"</formula>
    </cfRule>
    <cfRule type="cellIs" dxfId="207" priority="299" operator="equal">
      <formula>"Bajo"</formula>
    </cfRule>
  </conditionalFormatting>
  <conditionalFormatting sqref="H58">
    <cfRule type="cellIs" dxfId="206" priority="53" operator="equal">
      <formula>"Muy Alta"</formula>
    </cfRule>
    <cfRule type="cellIs" dxfId="205" priority="54" operator="equal">
      <formula>"Alta"</formula>
    </cfRule>
    <cfRule type="cellIs" dxfId="204" priority="55" operator="equal">
      <formula>"Media"</formula>
    </cfRule>
    <cfRule type="cellIs" dxfId="203" priority="56" operator="equal">
      <formula>"Baja"</formula>
    </cfRule>
    <cfRule type="cellIs" dxfId="202" priority="57" operator="equal">
      <formula>"Muy Baja"</formula>
    </cfRule>
  </conditionalFormatting>
  <conditionalFormatting sqref="N16">
    <cfRule type="cellIs" dxfId="201" priority="240" operator="equal">
      <formula>"Extremo"</formula>
    </cfRule>
    <cfRule type="cellIs" dxfId="200" priority="241" operator="equal">
      <formula>"Alto"</formula>
    </cfRule>
    <cfRule type="cellIs" dxfId="199" priority="242" operator="equal">
      <formula>"Moderado"</formula>
    </cfRule>
    <cfRule type="cellIs" dxfId="198" priority="243" operator="equal">
      <formula>"Bajo"</formula>
    </cfRule>
  </conditionalFormatting>
  <conditionalFormatting sqref="Y16:Y21">
    <cfRule type="cellIs" dxfId="197" priority="235" operator="equal">
      <formula>"Muy Alta"</formula>
    </cfRule>
    <cfRule type="cellIs" dxfId="196" priority="236" operator="equal">
      <formula>"Alta"</formula>
    </cfRule>
    <cfRule type="cellIs" dxfId="195" priority="237" operator="equal">
      <formula>"Media"</formula>
    </cfRule>
    <cfRule type="cellIs" dxfId="194" priority="238" operator="equal">
      <formula>"Baja"</formula>
    </cfRule>
    <cfRule type="cellIs" dxfId="193" priority="239" operator="equal">
      <formula>"Muy Baja"</formula>
    </cfRule>
  </conditionalFormatting>
  <conditionalFormatting sqref="AA16:AA21">
    <cfRule type="cellIs" dxfId="192" priority="230" operator="equal">
      <formula>"Catastrófico"</formula>
    </cfRule>
    <cfRule type="cellIs" dxfId="191" priority="231" operator="equal">
      <formula>"Mayor"</formula>
    </cfRule>
    <cfRule type="cellIs" dxfId="190" priority="232" operator="equal">
      <formula>"Moderado"</formula>
    </cfRule>
    <cfRule type="cellIs" dxfId="189" priority="233" operator="equal">
      <formula>"Menor"</formula>
    </cfRule>
    <cfRule type="cellIs" dxfId="188" priority="234" operator="equal">
      <formula>"Leve"</formula>
    </cfRule>
  </conditionalFormatting>
  <conditionalFormatting sqref="AC16:AC21">
    <cfRule type="cellIs" dxfId="187" priority="226" operator="equal">
      <formula>"Extremo"</formula>
    </cfRule>
    <cfRule type="cellIs" dxfId="186" priority="227" operator="equal">
      <formula>"Alto"</formula>
    </cfRule>
    <cfRule type="cellIs" dxfId="185" priority="228" operator="equal">
      <formula>"Moderado"</formula>
    </cfRule>
    <cfRule type="cellIs" dxfId="184" priority="229" operator="equal">
      <formula>"Bajo"</formula>
    </cfRule>
  </conditionalFormatting>
  <conditionalFormatting sqref="H22">
    <cfRule type="cellIs" dxfId="183" priority="221" operator="equal">
      <formula>"Muy Alta"</formula>
    </cfRule>
    <cfRule type="cellIs" dxfId="182" priority="222" operator="equal">
      <formula>"Alta"</formula>
    </cfRule>
    <cfRule type="cellIs" dxfId="181" priority="223" operator="equal">
      <formula>"Media"</formula>
    </cfRule>
    <cfRule type="cellIs" dxfId="180" priority="224" operator="equal">
      <formula>"Baja"</formula>
    </cfRule>
    <cfRule type="cellIs" dxfId="179" priority="225" operator="equal">
      <formula>"Muy Baja"</formula>
    </cfRule>
  </conditionalFormatting>
  <conditionalFormatting sqref="N22">
    <cfRule type="cellIs" dxfId="178" priority="212" operator="equal">
      <formula>"Extremo"</formula>
    </cfRule>
    <cfRule type="cellIs" dxfId="177" priority="213" operator="equal">
      <formula>"Alto"</formula>
    </cfRule>
    <cfRule type="cellIs" dxfId="176" priority="214" operator="equal">
      <formula>"Moderado"</formula>
    </cfRule>
    <cfRule type="cellIs" dxfId="175" priority="215" operator="equal">
      <formula>"Bajo"</formula>
    </cfRule>
  </conditionalFormatting>
  <conditionalFormatting sqref="Y22:Y27">
    <cfRule type="cellIs" dxfId="174" priority="207" operator="equal">
      <formula>"Muy Alta"</formula>
    </cfRule>
    <cfRule type="cellIs" dxfId="173" priority="208" operator="equal">
      <formula>"Alta"</formula>
    </cfRule>
    <cfRule type="cellIs" dxfId="172" priority="209" operator="equal">
      <formula>"Media"</formula>
    </cfRule>
    <cfRule type="cellIs" dxfId="171" priority="210" operator="equal">
      <formula>"Baja"</formula>
    </cfRule>
    <cfRule type="cellIs" dxfId="170" priority="211" operator="equal">
      <formula>"Muy Baja"</formula>
    </cfRule>
  </conditionalFormatting>
  <conditionalFormatting sqref="AA22:AA27">
    <cfRule type="cellIs" dxfId="169" priority="202" operator="equal">
      <formula>"Catastrófico"</formula>
    </cfRule>
    <cfRule type="cellIs" dxfId="168" priority="203" operator="equal">
      <formula>"Mayor"</formula>
    </cfRule>
    <cfRule type="cellIs" dxfId="167" priority="204" operator="equal">
      <formula>"Moderado"</formula>
    </cfRule>
    <cfRule type="cellIs" dxfId="166" priority="205" operator="equal">
      <formula>"Menor"</formula>
    </cfRule>
    <cfRule type="cellIs" dxfId="165" priority="206" operator="equal">
      <formula>"Leve"</formula>
    </cfRule>
  </conditionalFormatting>
  <conditionalFormatting sqref="AC22:AC27">
    <cfRule type="cellIs" dxfId="164" priority="198" operator="equal">
      <formula>"Extremo"</formula>
    </cfRule>
    <cfRule type="cellIs" dxfId="163" priority="199" operator="equal">
      <formula>"Alto"</formula>
    </cfRule>
    <cfRule type="cellIs" dxfId="162" priority="200" operator="equal">
      <formula>"Moderado"</formula>
    </cfRule>
    <cfRule type="cellIs" dxfId="161" priority="201" operator="equal">
      <formula>"Bajo"</formula>
    </cfRule>
  </conditionalFormatting>
  <conditionalFormatting sqref="H28">
    <cfRule type="cellIs" dxfId="160" priority="193" operator="equal">
      <formula>"Muy Alta"</formula>
    </cfRule>
    <cfRule type="cellIs" dxfId="159" priority="194" operator="equal">
      <formula>"Alta"</formula>
    </cfRule>
    <cfRule type="cellIs" dxfId="158" priority="195" operator="equal">
      <formula>"Media"</formula>
    </cfRule>
    <cfRule type="cellIs" dxfId="157" priority="196" operator="equal">
      <formula>"Baja"</formula>
    </cfRule>
    <cfRule type="cellIs" dxfId="156" priority="197" operator="equal">
      <formula>"Muy Baja"</formula>
    </cfRule>
  </conditionalFormatting>
  <conditionalFormatting sqref="N28">
    <cfRule type="cellIs" dxfId="155" priority="184" operator="equal">
      <formula>"Extremo"</formula>
    </cfRule>
    <cfRule type="cellIs" dxfId="154" priority="185" operator="equal">
      <formula>"Alto"</formula>
    </cfRule>
    <cfRule type="cellIs" dxfId="153" priority="186" operator="equal">
      <formula>"Moderado"</formula>
    </cfRule>
    <cfRule type="cellIs" dxfId="152" priority="187" operator="equal">
      <formula>"Bajo"</formula>
    </cfRule>
  </conditionalFormatting>
  <conditionalFormatting sqref="Y28:Y33">
    <cfRule type="cellIs" dxfId="151" priority="179" operator="equal">
      <formula>"Muy Alta"</formula>
    </cfRule>
    <cfRule type="cellIs" dxfId="150" priority="180" operator="equal">
      <formula>"Alta"</formula>
    </cfRule>
    <cfRule type="cellIs" dxfId="149" priority="181" operator="equal">
      <formula>"Media"</formula>
    </cfRule>
    <cfRule type="cellIs" dxfId="148" priority="182" operator="equal">
      <formula>"Baja"</formula>
    </cfRule>
    <cfRule type="cellIs" dxfId="147" priority="183" operator="equal">
      <formula>"Muy Baja"</formula>
    </cfRule>
  </conditionalFormatting>
  <conditionalFormatting sqref="AA28:AA33">
    <cfRule type="cellIs" dxfId="146" priority="174" operator="equal">
      <formula>"Catastrófico"</formula>
    </cfRule>
    <cfRule type="cellIs" dxfId="145" priority="175" operator="equal">
      <formula>"Mayor"</formula>
    </cfRule>
    <cfRule type="cellIs" dxfId="144" priority="176" operator="equal">
      <formula>"Moderado"</formula>
    </cfRule>
    <cfRule type="cellIs" dxfId="143" priority="177" operator="equal">
      <formula>"Menor"</formula>
    </cfRule>
    <cfRule type="cellIs" dxfId="142" priority="178" operator="equal">
      <formula>"Leve"</formula>
    </cfRule>
  </conditionalFormatting>
  <conditionalFormatting sqref="AC28:AC33">
    <cfRule type="cellIs" dxfId="141" priority="170" operator="equal">
      <formula>"Extremo"</formula>
    </cfRule>
    <cfRule type="cellIs" dxfId="140" priority="171" operator="equal">
      <formula>"Alto"</formula>
    </cfRule>
    <cfRule type="cellIs" dxfId="139" priority="172" operator="equal">
      <formula>"Moderado"</formula>
    </cfRule>
    <cfRule type="cellIs" dxfId="138" priority="173" operator="equal">
      <formula>"Bajo"</formula>
    </cfRule>
  </conditionalFormatting>
  <conditionalFormatting sqref="H34">
    <cfRule type="cellIs" dxfId="137" priority="165" operator="equal">
      <formula>"Muy Alta"</formula>
    </cfRule>
    <cfRule type="cellIs" dxfId="136" priority="166" operator="equal">
      <formula>"Alta"</formula>
    </cfRule>
    <cfRule type="cellIs" dxfId="135" priority="167" operator="equal">
      <formula>"Media"</formula>
    </cfRule>
    <cfRule type="cellIs" dxfId="134" priority="168" operator="equal">
      <formula>"Baja"</formula>
    </cfRule>
    <cfRule type="cellIs" dxfId="133" priority="169" operator="equal">
      <formula>"Muy Baja"</formula>
    </cfRule>
  </conditionalFormatting>
  <conditionalFormatting sqref="N34">
    <cfRule type="cellIs" dxfId="132" priority="156" operator="equal">
      <formula>"Extremo"</formula>
    </cfRule>
    <cfRule type="cellIs" dxfId="131" priority="157" operator="equal">
      <formula>"Alto"</formula>
    </cfRule>
    <cfRule type="cellIs" dxfId="130" priority="158" operator="equal">
      <formula>"Moderado"</formula>
    </cfRule>
    <cfRule type="cellIs" dxfId="129" priority="159" operator="equal">
      <formula>"Bajo"</formula>
    </cfRule>
  </conditionalFormatting>
  <conditionalFormatting sqref="Y34:Y39">
    <cfRule type="cellIs" dxfId="128" priority="151" operator="equal">
      <formula>"Muy Alta"</formula>
    </cfRule>
    <cfRule type="cellIs" dxfId="127" priority="152" operator="equal">
      <formula>"Alta"</formula>
    </cfRule>
    <cfRule type="cellIs" dxfId="126" priority="153" operator="equal">
      <formula>"Media"</formula>
    </cfRule>
    <cfRule type="cellIs" dxfId="125" priority="154" operator="equal">
      <formula>"Baja"</formula>
    </cfRule>
    <cfRule type="cellIs" dxfId="124" priority="155" operator="equal">
      <formula>"Muy Baja"</formula>
    </cfRule>
  </conditionalFormatting>
  <conditionalFormatting sqref="AA34:AA39">
    <cfRule type="cellIs" dxfId="123" priority="146" operator="equal">
      <formula>"Catastrófico"</formula>
    </cfRule>
    <cfRule type="cellIs" dxfId="122" priority="147" operator="equal">
      <formula>"Mayor"</formula>
    </cfRule>
    <cfRule type="cellIs" dxfId="121" priority="148" operator="equal">
      <formula>"Moderado"</formula>
    </cfRule>
    <cfRule type="cellIs" dxfId="120" priority="149" operator="equal">
      <formula>"Menor"</formula>
    </cfRule>
    <cfRule type="cellIs" dxfId="119" priority="150" operator="equal">
      <formula>"Leve"</formula>
    </cfRule>
  </conditionalFormatting>
  <conditionalFormatting sqref="AC34:AC39">
    <cfRule type="cellIs" dxfId="118" priority="142" operator="equal">
      <formula>"Extremo"</formula>
    </cfRule>
    <cfRule type="cellIs" dxfId="117" priority="143" operator="equal">
      <formula>"Alto"</formula>
    </cfRule>
    <cfRule type="cellIs" dxfId="116" priority="144" operator="equal">
      <formula>"Moderado"</formula>
    </cfRule>
    <cfRule type="cellIs" dxfId="115" priority="145" operator="equal">
      <formula>"Bajo"</formula>
    </cfRule>
  </conditionalFormatting>
  <conditionalFormatting sqref="H40">
    <cfRule type="cellIs" dxfId="114" priority="137" operator="equal">
      <formula>"Muy Alta"</formula>
    </cfRule>
    <cfRule type="cellIs" dxfId="113" priority="138" operator="equal">
      <formula>"Alta"</formula>
    </cfRule>
    <cfRule type="cellIs" dxfId="112" priority="139" operator="equal">
      <formula>"Media"</formula>
    </cfRule>
    <cfRule type="cellIs" dxfId="111" priority="140" operator="equal">
      <formula>"Baja"</formula>
    </cfRule>
    <cfRule type="cellIs" dxfId="110" priority="141" operator="equal">
      <formula>"Muy Baja"</formula>
    </cfRule>
  </conditionalFormatting>
  <conditionalFormatting sqref="N40">
    <cfRule type="cellIs" dxfId="109" priority="128" operator="equal">
      <formula>"Extremo"</formula>
    </cfRule>
    <cfRule type="cellIs" dxfId="108" priority="129" operator="equal">
      <formula>"Alto"</formula>
    </cfRule>
    <cfRule type="cellIs" dxfId="107" priority="130" operator="equal">
      <formula>"Moderado"</formula>
    </cfRule>
    <cfRule type="cellIs" dxfId="106" priority="131" operator="equal">
      <formula>"Bajo"</formula>
    </cfRule>
  </conditionalFormatting>
  <conditionalFormatting sqref="Y40:Y45">
    <cfRule type="cellIs" dxfId="105" priority="123" operator="equal">
      <formula>"Muy Alta"</formula>
    </cfRule>
    <cfRule type="cellIs" dxfId="104" priority="124" operator="equal">
      <formula>"Alta"</formula>
    </cfRule>
    <cfRule type="cellIs" dxfId="103" priority="125" operator="equal">
      <formula>"Media"</formula>
    </cfRule>
    <cfRule type="cellIs" dxfId="102" priority="126" operator="equal">
      <formula>"Baja"</formula>
    </cfRule>
    <cfRule type="cellIs" dxfId="101" priority="127" operator="equal">
      <formula>"Muy Baja"</formula>
    </cfRule>
  </conditionalFormatting>
  <conditionalFormatting sqref="AA40:AA45">
    <cfRule type="cellIs" dxfId="100" priority="118" operator="equal">
      <formula>"Catastrófico"</formula>
    </cfRule>
    <cfRule type="cellIs" dxfId="99" priority="119" operator="equal">
      <formula>"Mayor"</formula>
    </cfRule>
    <cfRule type="cellIs" dxfId="98" priority="120" operator="equal">
      <formula>"Moderado"</formula>
    </cfRule>
    <cfRule type="cellIs" dxfId="97" priority="121" operator="equal">
      <formula>"Menor"</formula>
    </cfRule>
    <cfRule type="cellIs" dxfId="96" priority="122" operator="equal">
      <formula>"Leve"</formula>
    </cfRule>
  </conditionalFormatting>
  <conditionalFormatting sqref="AC40:AC45">
    <cfRule type="cellIs" dxfId="95" priority="114" operator="equal">
      <formula>"Extremo"</formula>
    </cfRule>
    <cfRule type="cellIs" dxfId="94" priority="115" operator="equal">
      <formula>"Alto"</formula>
    </cfRule>
    <cfRule type="cellIs" dxfId="93" priority="116" operator="equal">
      <formula>"Moderado"</formula>
    </cfRule>
    <cfRule type="cellIs" dxfId="92" priority="117" operator="equal">
      <formula>"Bajo"</formula>
    </cfRule>
  </conditionalFormatting>
  <conditionalFormatting sqref="H46">
    <cfRule type="cellIs" dxfId="91" priority="109" operator="equal">
      <formula>"Muy Alta"</formula>
    </cfRule>
    <cfRule type="cellIs" dxfId="90" priority="110" operator="equal">
      <formula>"Alta"</formula>
    </cfRule>
    <cfRule type="cellIs" dxfId="89" priority="111" operator="equal">
      <formula>"Media"</formula>
    </cfRule>
    <cfRule type="cellIs" dxfId="88" priority="112" operator="equal">
      <formula>"Baja"</formula>
    </cfRule>
    <cfRule type="cellIs" dxfId="87" priority="113" operator="equal">
      <formula>"Muy Baja"</formula>
    </cfRule>
  </conditionalFormatting>
  <conditionalFormatting sqref="N46">
    <cfRule type="cellIs" dxfId="86" priority="100" operator="equal">
      <formula>"Extremo"</formula>
    </cfRule>
    <cfRule type="cellIs" dxfId="85" priority="101" operator="equal">
      <formula>"Alto"</formula>
    </cfRule>
    <cfRule type="cellIs" dxfId="84" priority="102" operator="equal">
      <formula>"Moderado"</formula>
    </cfRule>
    <cfRule type="cellIs" dxfId="83" priority="103" operator="equal">
      <formula>"Bajo"</formula>
    </cfRule>
  </conditionalFormatting>
  <conditionalFormatting sqref="Y46:Y51">
    <cfRule type="cellIs" dxfId="82" priority="95" operator="equal">
      <formula>"Muy Alta"</formula>
    </cfRule>
    <cfRule type="cellIs" dxfId="81" priority="96" operator="equal">
      <formula>"Alta"</formula>
    </cfRule>
    <cfRule type="cellIs" dxfId="80" priority="97" operator="equal">
      <formula>"Media"</formula>
    </cfRule>
    <cfRule type="cellIs" dxfId="79" priority="98" operator="equal">
      <formula>"Baja"</formula>
    </cfRule>
    <cfRule type="cellIs" dxfId="78" priority="99" operator="equal">
      <formula>"Muy Baja"</formula>
    </cfRule>
  </conditionalFormatting>
  <conditionalFormatting sqref="AA46:AA51">
    <cfRule type="cellIs" dxfId="77" priority="90" operator="equal">
      <formula>"Catastrófico"</formula>
    </cfRule>
    <cfRule type="cellIs" dxfId="76" priority="91" operator="equal">
      <formula>"Mayor"</formula>
    </cfRule>
    <cfRule type="cellIs" dxfId="75" priority="92" operator="equal">
      <formula>"Moderado"</formula>
    </cfRule>
    <cfRule type="cellIs" dxfId="74" priority="93" operator="equal">
      <formula>"Menor"</formula>
    </cfRule>
    <cfRule type="cellIs" dxfId="73" priority="94" operator="equal">
      <formula>"Leve"</formula>
    </cfRule>
  </conditionalFormatting>
  <conditionalFormatting sqref="AC46:AC51">
    <cfRule type="cellIs" dxfId="72" priority="86" operator="equal">
      <formula>"Extremo"</formula>
    </cfRule>
    <cfRule type="cellIs" dxfId="71" priority="87" operator="equal">
      <formula>"Alto"</formula>
    </cfRule>
    <cfRule type="cellIs" dxfId="70" priority="88" operator="equal">
      <formula>"Moderado"</formula>
    </cfRule>
    <cfRule type="cellIs" dxfId="69" priority="89" operator="equal">
      <formula>"Bajo"</formula>
    </cfRule>
  </conditionalFormatting>
  <conditionalFormatting sqref="H52">
    <cfRule type="cellIs" dxfId="68" priority="81" operator="equal">
      <formula>"Muy Alta"</formula>
    </cfRule>
    <cfRule type="cellIs" dxfId="67" priority="82" operator="equal">
      <formula>"Alta"</formula>
    </cfRule>
    <cfRule type="cellIs" dxfId="66" priority="83" operator="equal">
      <formula>"Media"</formula>
    </cfRule>
    <cfRule type="cellIs" dxfId="65" priority="84" operator="equal">
      <formula>"Baja"</formula>
    </cfRule>
    <cfRule type="cellIs" dxfId="64" priority="85" operator="equal">
      <formula>"Muy Baja"</formula>
    </cfRule>
  </conditionalFormatting>
  <conditionalFormatting sqref="N52">
    <cfRule type="cellIs" dxfId="63" priority="72" operator="equal">
      <formula>"Extremo"</formula>
    </cfRule>
    <cfRule type="cellIs" dxfId="62" priority="73" operator="equal">
      <formula>"Alto"</formula>
    </cfRule>
    <cfRule type="cellIs" dxfId="61" priority="74" operator="equal">
      <formula>"Moderado"</formula>
    </cfRule>
    <cfRule type="cellIs" dxfId="60" priority="75" operator="equal">
      <formula>"Bajo"</formula>
    </cfRule>
  </conditionalFormatting>
  <conditionalFormatting sqref="Y52:Y57">
    <cfRule type="cellIs" dxfId="59" priority="67" operator="equal">
      <formula>"Muy Alta"</formula>
    </cfRule>
    <cfRule type="cellIs" dxfId="58" priority="68" operator="equal">
      <formula>"Alta"</formula>
    </cfRule>
    <cfRule type="cellIs" dxfId="57" priority="69" operator="equal">
      <formula>"Media"</formula>
    </cfRule>
    <cfRule type="cellIs" dxfId="56" priority="70" operator="equal">
      <formula>"Baja"</formula>
    </cfRule>
    <cfRule type="cellIs" dxfId="55" priority="71" operator="equal">
      <formula>"Muy Baja"</formula>
    </cfRule>
  </conditionalFormatting>
  <conditionalFormatting sqref="AA52:AA57">
    <cfRule type="cellIs" dxfId="54" priority="62" operator="equal">
      <formula>"Catastrófico"</formula>
    </cfRule>
    <cfRule type="cellIs" dxfId="53" priority="63" operator="equal">
      <formula>"Mayor"</formula>
    </cfRule>
    <cfRule type="cellIs" dxfId="52" priority="64" operator="equal">
      <formula>"Moderado"</formula>
    </cfRule>
    <cfRule type="cellIs" dxfId="51" priority="65" operator="equal">
      <formula>"Menor"</formula>
    </cfRule>
    <cfRule type="cellIs" dxfId="50" priority="66" operator="equal">
      <formula>"Leve"</formula>
    </cfRule>
  </conditionalFormatting>
  <conditionalFormatting sqref="AC52:AC57">
    <cfRule type="cellIs" dxfId="49" priority="58" operator="equal">
      <formula>"Extremo"</formula>
    </cfRule>
    <cfRule type="cellIs" dxfId="48" priority="59" operator="equal">
      <formula>"Alto"</formula>
    </cfRule>
    <cfRule type="cellIs" dxfId="47" priority="60" operator="equal">
      <formula>"Moderado"</formula>
    </cfRule>
    <cfRule type="cellIs" dxfId="46" priority="61" operator="equal">
      <formula>"Bajo"</formula>
    </cfRule>
  </conditionalFormatting>
  <conditionalFormatting sqref="N58">
    <cfRule type="cellIs" dxfId="45" priority="44" operator="equal">
      <formula>"Extremo"</formula>
    </cfRule>
    <cfRule type="cellIs" dxfId="44" priority="45" operator="equal">
      <formula>"Alto"</formula>
    </cfRule>
    <cfRule type="cellIs" dxfId="43" priority="46" operator="equal">
      <formula>"Moderado"</formula>
    </cfRule>
    <cfRule type="cellIs" dxfId="42" priority="47" operator="equal">
      <formula>"Bajo"</formula>
    </cfRule>
  </conditionalFormatting>
  <conditionalFormatting sqref="Y58:Y63">
    <cfRule type="cellIs" dxfId="41" priority="39" operator="equal">
      <formula>"Muy Alta"</formula>
    </cfRule>
    <cfRule type="cellIs" dxfId="40" priority="40" operator="equal">
      <formula>"Alta"</formula>
    </cfRule>
    <cfRule type="cellIs" dxfId="39" priority="41" operator="equal">
      <formula>"Media"</formula>
    </cfRule>
    <cfRule type="cellIs" dxfId="38" priority="42" operator="equal">
      <formula>"Baja"</formula>
    </cfRule>
    <cfRule type="cellIs" dxfId="37" priority="43" operator="equal">
      <formula>"Muy Baja"</formula>
    </cfRule>
  </conditionalFormatting>
  <conditionalFormatting sqref="AA58:AA63">
    <cfRule type="cellIs" dxfId="36" priority="34" operator="equal">
      <formula>"Catastrófico"</formula>
    </cfRule>
    <cfRule type="cellIs" dxfId="35" priority="35" operator="equal">
      <formula>"Mayor"</formula>
    </cfRule>
    <cfRule type="cellIs" dxfId="34" priority="36" operator="equal">
      <formula>"Moderado"</formula>
    </cfRule>
    <cfRule type="cellIs" dxfId="33" priority="37" operator="equal">
      <formula>"Menor"</formula>
    </cfRule>
    <cfRule type="cellIs" dxfId="32" priority="38" operator="equal">
      <formula>"Leve"</formula>
    </cfRule>
  </conditionalFormatting>
  <conditionalFormatting sqref="AC58:AC63">
    <cfRule type="cellIs" dxfId="31" priority="30" operator="equal">
      <formula>"Extremo"</formula>
    </cfRule>
    <cfRule type="cellIs" dxfId="30" priority="31" operator="equal">
      <formula>"Alto"</formula>
    </cfRule>
    <cfRule type="cellIs" dxfId="29" priority="32" operator="equal">
      <formula>"Moderado"</formula>
    </cfRule>
    <cfRule type="cellIs" dxfId="28" priority="33" operator="equal">
      <formula>"Bajo"</formula>
    </cfRule>
  </conditionalFormatting>
  <conditionalFormatting sqref="H64">
    <cfRule type="cellIs" dxfId="27" priority="25" operator="equal">
      <formula>"Muy Alta"</formula>
    </cfRule>
    <cfRule type="cellIs" dxfId="26" priority="26" operator="equal">
      <formula>"Alta"</formula>
    </cfRule>
    <cfRule type="cellIs" dxfId="25" priority="27" operator="equal">
      <formula>"Media"</formula>
    </cfRule>
    <cfRule type="cellIs" dxfId="24" priority="28" operator="equal">
      <formula>"Baja"</formula>
    </cfRule>
    <cfRule type="cellIs" dxfId="23" priority="29" operator="equal">
      <formula>"Muy Baja"</formula>
    </cfRule>
  </conditionalFormatting>
  <conditionalFormatting sqref="N64">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64:Y69">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64:AA69">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64:AC69">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10:K69">
    <cfRule type="containsText" dxfId="4"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338" t="s">
        <v>161</v>
      </c>
      <c r="C2" s="338"/>
      <c r="D2" s="338"/>
      <c r="E2" s="338"/>
      <c r="F2" s="338"/>
      <c r="G2" s="338"/>
      <c r="H2" s="338"/>
      <c r="I2" s="338"/>
      <c r="J2" s="305" t="s">
        <v>2</v>
      </c>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338"/>
      <c r="C3" s="338"/>
      <c r="D3" s="338"/>
      <c r="E3" s="338"/>
      <c r="F3" s="338"/>
      <c r="G3" s="338"/>
      <c r="H3" s="338"/>
      <c r="I3" s="338"/>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338"/>
      <c r="C4" s="338"/>
      <c r="D4" s="338"/>
      <c r="E4" s="338"/>
      <c r="F4" s="338"/>
      <c r="G4" s="338"/>
      <c r="H4" s="338"/>
      <c r="I4" s="338"/>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251" t="s">
        <v>4</v>
      </c>
      <c r="C6" s="251"/>
      <c r="D6" s="252"/>
      <c r="E6" s="289" t="s">
        <v>116</v>
      </c>
      <c r="F6" s="290"/>
      <c r="G6" s="290"/>
      <c r="H6" s="290"/>
      <c r="I6" s="291"/>
      <c r="J6" s="301" t="str">
        <f ca="1">IF(AND('Mapa final'!$H$10="Muy Alta",'Mapa final'!$L$10="Leve"),CONCATENATE("R",'Mapa final'!$A$10),"")</f>
        <v/>
      </c>
      <c r="K6" s="302"/>
      <c r="L6" s="302" t="str">
        <f ca="1">IF(AND('Mapa final'!$H$16="Muy Alta",'Mapa final'!$L$16="Leve"),CONCATENATE("R",'Mapa final'!$A$16),"")</f>
        <v/>
      </c>
      <c r="M6" s="302"/>
      <c r="N6" s="302" t="str">
        <f ca="1">IF(AND('Mapa final'!$H$22="Muy Alta",'Mapa final'!$L$22="Leve"),CONCATENATE("R",'Mapa final'!$A$22),"")</f>
        <v/>
      </c>
      <c r="O6" s="304"/>
      <c r="P6" s="301" t="str">
        <f ca="1">IF(AND('Mapa final'!$H$10="Muy Alta",'Mapa final'!$L$10="Menor"),CONCATENATE("R",'Mapa final'!$A$10),"")</f>
        <v/>
      </c>
      <c r="Q6" s="302"/>
      <c r="R6" s="302" t="str">
        <f ca="1">IF(AND('Mapa final'!$H$16="Muy Alta",'Mapa final'!$L$16="Menor"),CONCATENATE("R",'Mapa final'!$A$16),"")</f>
        <v/>
      </c>
      <c r="S6" s="302"/>
      <c r="T6" s="302" t="str">
        <f ca="1">IF(AND('Mapa final'!$H$22="Muy Alta",'Mapa final'!$L$22="Menor"),CONCATENATE("R",'Mapa final'!$A$22),"")</f>
        <v/>
      </c>
      <c r="U6" s="304"/>
      <c r="V6" s="301" t="str">
        <f ca="1">IF(AND('Mapa final'!$H$10="Muy Alta",'Mapa final'!$L$10="Moderado"),CONCATENATE("R",'Mapa final'!$A$10),"")</f>
        <v/>
      </c>
      <c r="W6" s="302"/>
      <c r="X6" s="302" t="str">
        <f ca="1">IF(AND('Mapa final'!$H$16="Muy Alta",'Mapa final'!$L$16="Moderado"),CONCATENATE("R",'Mapa final'!$A$16),"")</f>
        <v/>
      </c>
      <c r="Y6" s="302"/>
      <c r="Z6" s="302" t="str">
        <f ca="1">IF(AND('Mapa final'!$H$22="Muy Alta",'Mapa final'!$L$22="Moderado"),CONCATENATE("R",'Mapa final'!$A$22),"")</f>
        <v/>
      </c>
      <c r="AA6" s="304"/>
      <c r="AB6" s="301" t="str">
        <f ca="1">IF(AND('Mapa final'!$H$10="Muy Alta",'Mapa final'!$L$10="Mayor"),CONCATENATE("R",'Mapa final'!$A$10),"")</f>
        <v/>
      </c>
      <c r="AC6" s="302"/>
      <c r="AD6" s="302" t="str">
        <f ca="1">IF(AND('Mapa final'!$H$16="Muy Alta",'Mapa final'!$L$16="Mayor"),CONCATENATE("R",'Mapa final'!$A$16),"")</f>
        <v/>
      </c>
      <c r="AE6" s="302"/>
      <c r="AF6" s="302" t="str">
        <f ca="1">IF(AND('Mapa final'!$H$22="Muy Alta",'Mapa final'!$L$22="Mayor"),CONCATENATE("R",'Mapa final'!$A$22),"")</f>
        <v/>
      </c>
      <c r="AG6" s="304"/>
      <c r="AH6" s="317" t="str">
        <f ca="1">IF(AND('Mapa final'!$H$10="Muy Alta",'Mapa final'!$L$10="Catastrófico"),CONCATENATE("R",'Mapa final'!$A$10),"")</f>
        <v/>
      </c>
      <c r="AI6" s="318"/>
      <c r="AJ6" s="318" t="str">
        <f ca="1">IF(AND('Mapa final'!$H$16="Muy Alta",'Mapa final'!$L$16="Catastrófico"),CONCATENATE("R",'Mapa final'!$A$16),"")</f>
        <v/>
      </c>
      <c r="AK6" s="318"/>
      <c r="AL6" s="318" t="str">
        <f ca="1">IF(AND('Mapa final'!$H$22="Muy Alta",'Mapa final'!$L$22="Catastrófico"),CONCATENATE("R",'Mapa final'!$A$22),"")</f>
        <v/>
      </c>
      <c r="AM6" s="319"/>
      <c r="AO6" s="253" t="s">
        <v>79</v>
      </c>
      <c r="AP6" s="254"/>
      <c r="AQ6" s="254"/>
      <c r="AR6" s="254"/>
      <c r="AS6" s="254"/>
      <c r="AT6" s="255"/>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251"/>
      <c r="C7" s="251"/>
      <c r="D7" s="252"/>
      <c r="E7" s="292"/>
      <c r="F7" s="293"/>
      <c r="G7" s="293"/>
      <c r="H7" s="293"/>
      <c r="I7" s="294"/>
      <c r="J7" s="303"/>
      <c r="K7" s="300"/>
      <c r="L7" s="300"/>
      <c r="M7" s="300"/>
      <c r="N7" s="300"/>
      <c r="O7" s="299"/>
      <c r="P7" s="303"/>
      <c r="Q7" s="300"/>
      <c r="R7" s="300"/>
      <c r="S7" s="300"/>
      <c r="T7" s="300"/>
      <c r="U7" s="299"/>
      <c r="V7" s="303"/>
      <c r="W7" s="300"/>
      <c r="X7" s="300"/>
      <c r="Y7" s="300"/>
      <c r="Z7" s="300"/>
      <c r="AA7" s="299"/>
      <c r="AB7" s="303"/>
      <c r="AC7" s="300"/>
      <c r="AD7" s="300"/>
      <c r="AE7" s="300"/>
      <c r="AF7" s="300"/>
      <c r="AG7" s="299"/>
      <c r="AH7" s="311"/>
      <c r="AI7" s="312"/>
      <c r="AJ7" s="312"/>
      <c r="AK7" s="312"/>
      <c r="AL7" s="312"/>
      <c r="AM7" s="313"/>
      <c r="AN7" s="84"/>
      <c r="AO7" s="256"/>
      <c r="AP7" s="257"/>
      <c r="AQ7" s="257"/>
      <c r="AR7" s="257"/>
      <c r="AS7" s="257"/>
      <c r="AT7" s="258"/>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251"/>
      <c r="C8" s="251"/>
      <c r="D8" s="252"/>
      <c r="E8" s="292"/>
      <c r="F8" s="293"/>
      <c r="G8" s="293"/>
      <c r="H8" s="293"/>
      <c r="I8" s="294"/>
      <c r="J8" s="303" t="str">
        <f ca="1">IF(AND('Mapa final'!$H$28="Muy Alta",'Mapa final'!$L$28="Leve"),CONCATENATE("R",'Mapa final'!$A$28),"")</f>
        <v/>
      </c>
      <c r="K8" s="300"/>
      <c r="L8" s="298" t="str">
        <f ca="1">IF(AND('Mapa final'!$H$34="Muy Alta",'Mapa final'!$L$34="Leve"),CONCATENATE("R",'Mapa final'!$A$34),"")</f>
        <v/>
      </c>
      <c r="M8" s="298"/>
      <c r="N8" s="298" t="str">
        <f ca="1">IF(AND('Mapa final'!$H$40="Muy Alta",'Mapa final'!$L$40="Leve"),CONCATENATE("R",'Mapa final'!$A$40),"")</f>
        <v/>
      </c>
      <c r="O8" s="299"/>
      <c r="P8" s="303" t="str">
        <f ca="1">IF(AND('Mapa final'!$H$28="Muy Alta",'Mapa final'!$L$28="Menor"),CONCATENATE("R",'Mapa final'!$A$28),"")</f>
        <v/>
      </c>
      <c r="Q8" s="300"/>
      <c r="R8" s="298" t="str">
        <f ca="1">IF(AND('Mapa final'!$H$34="Muy Alta",'Mapa final'!$L$34="Menor"),CONCATENATE("R",'Mapa final'!$A$34),"")</f>
        <v/>
      </c>
      <c r="S8" s="298"/>
      <c r="T8" s="298" t="str">
        <f ca="1">IF(AND('Mapa final'!$H$40="Muy Alta",'Mapa final'!$L$40="Menor"),CONCATENATE("R",'Mapa final'!$A$40),"")</f>
        <v/>
      </c>
      <c r="U8" s="299"/>
      <c r="V8" s="303" t="str">
        <f ca="1">IF(AND('Mapa final'!$H$28="Muy Alta",'Mapa final'!$L$28="Moderado"),CONCATENATE("R",'Mapa final'!$A$28),"")</f>
        <v/>
      </c>
      <c r="W8" s="300"/>
      <c r="X8" s="298" t="str">
        <f ca="1">IF(AND('Mapa final'!$H$34="Muy Alta",'Mapa final'!$L$34="Moderado"),CONCATENATE("R",'Mapa final'!$A$34),"")</f>
        <v/>
      </c>
      <c r="Y8" s="298"/>
      <c r="Z8" s="298" t="str">
        <f ca="1">IF(AND('Mapa final'!$H$40="Muy Alta",'Mapa final'!$L$40="Moderado"),CONCATENATE("R",'Mapa final'!$A$40),"")</f>
        <v/>
      </c>
      <c r="AA8" s="299"/>
      <c r="AB8" s="303" t="str">
        <f ca="1">IF(AND('Mapa final'!$H$28="Muy Alta",'Mapa final'!$L$28="Mayor"),CONCATENATE("R",'Mapa final'!$A$28),"")</f>
        <v/>
      </c>
      <c r="AC8" s="300"/>
      <c r="AD8" s="298" t="str">
        <f ca="1">IF(AND('Mapa final'!$H$34="Muy Alta",'Mapa final'!$L$34="Mayor"),CONCATENATE("R",'Mapa final'!$A$34),"")</f>
        <v/>
      </c>
      <c r="AE8" s="298"/>
      <c r="AF8" s="298" t="str">
        <f ca="1">IF(AND('Mapa final'!$H$40="Muy Alta",'Mapa final'!$L$40="Mayor"),CONCATENATE("R",'Mapa final'!$A$40),"")</f>
        <v/>
      </c>
      <c r="AG8" s="299"/>
      <c r="AH8" s="311" t="str">
        <f ca="1">IF(AND('Mapa final'!$H$28="Muy Alta",'Mapa final'!$L$28="Catastrófico"),CONCATENATE("R",'Mapa final'!$A$28),"")</f>
        <v/>
      </c>
      <c r="AI8" s="312"/>
      <c r="AJ8" s="312" t="str">
        <f ca="1">IF(AND('Mapa final'!$H$34="Muy Alta",'Mapa final'!$L$34="Catastrófico"),CONCATENATE("R",'Mapa final'!$A$34),"")</f>
        <v/>
      </c>
      <c r="AK8" s="312"/>
      <c r="AL8" s="312" t="str">
        <f ca="1">IF(AND('Mapa final'!$H$40="Muy Alta",'Mapa final'!$L$40="Catastrófico"),CONCATENATE("R",'Mapa final'!$A$40),"")</f>
        <v/>
      </c>
      <c r="AM8" s="313"/>
      <c r="AN8" s="84"/>
      <c r="AO8" s="256"/>
      <c r="AP8" s="257"/>
      <c r="AQ8" s="257"/>
      <c r="AR8" s="257"/>
      <c r="AS8" s="257"/>
      <c r="AT8" s="258"/>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251"/>
      <c r="C9" s="251"/>
      <c r="D9" s="252"/>
      <c r="E9" s="292"/>
      <c r="F9" s="293"/>
      <c r="G9" s="293"/>
      <c r="H9" s="293"/>
      <c r="I9" s="294"/>
      <c r="J9" s="303"/>
      <c r="K9" s="300"/>
      <c r="L9" s="298"/>
      <c r="M9" s="298"/>
      <c r="N9" s="298"/>
      <c r="O9" s="299"/>
      <c r="P9" s="303"/>
      <c r="Q9" s="300"/>
      <c r="R9" s="298"/>
      <c r="S9" s="298"/>
      <c r="T9" s="298"/>
      <c r="U9" s="299"/>
      <c r="V9" s="303"/>
      <c r="W9" s="300"/>
      <c r="X9" s="298"/>
      <c r="Y9" s="298"/>
      <c r="Z9" s="298"/>
      <c r="AA9" s="299"/>
      <c r="AB9" s="303"/>
      <c r="AC9" s="300"/>
      <c r="AD9" s="298"/>
      <c r="AE9" s="298"/>
      <c r="AF9" s="298"/>
      <c r="AG9" s="299"/>
      <c r="AH9" s="311"/>
      <c r="AI9" s="312"/>
      <c r="AJ9" s="312"/>
      <c r="AK9" s="312"/>
      <c r="AL9" s="312"/>
      <c r="AM9" s="313"/>
      <c r="AN9" s="84"/>
      <c r="AO9" s="256"/>
      <c r="AP9" s="257"/>
      <c r="AQ9" s="257"/>
      <c r="AR9" s="257"/>
      <c r="AS9" s="257"/>
      <c r="AT9" s="258"/>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251"/>
      <c r="C10" s="251"/>
      <c r="D10" s="252"/>
      <c r="E10" s="292"/>
      <c r="F10" s="293"/>
      <c r="G10" s="293"/>
      <c r="H10" s="293"/>
      <c r="I10" s="294"/>
      <c r="J10" s="303" t="str">
        <f ca="1">IF(AND('Mapa final'!$H$46="Muy Alta",'Mapa final'!$L$46="Leve"),CONCATENATE("R",'Mapa final'!$A$46),"")</f>
        <v/>
      </c>
      <c r="K10" s="300"/>
      <c r="L10" s="298" t="str">
        <f ca="1">IF(AND('Mapa final'!$H$52="Muy Alta",'Mapa final'!$L$52="Leve"),CONCATENATE("R",'Mapa final'!$A$52),"")</f>
        <v/>
      </c>
      <c r="M10" s="298"/>
      <c r="N10" s="298" t="str">
        <f ca="1">IF(AND('Mapa final'!$H$58="Muy Alta",'Mapa final'!$L$58="Leve"),CONCATENATE("R",'Mapa final'!$A$58),"")</f>
        <v/>
      </c>
      <c r="O10" s="299"/>
      <c r="P10" s="303" t="str">
        <f ca="1">IF(AND('Mapa final'!$H$46="Muy Alta",'Mapa final'!$L$46="Menor"),CONCATENATE("R",'Mapa final'!$A$46),"")</f>
        <v/>
      </c>
      <c r="Q10" s="300"/>
      <c r="R10" s="298" t="str">
        <f ca="1">IF(AND('Mapa final'!$H$52="Muy Alta",'Mapa final'!$L$52="Menor"),CONCATENATE("R",'Mapa final'!$A$52),"")</f>
        <v/>
      </c>
      <c r="S10" s="298"/>
      <c r="T10" s="298" t="str">
        <f ca="1">IF(AND('Mapa final'!$H$58="Muy Alta",'Mapa final'!$L$58="Menor"),CONCATENATE("R",'Mapa final'!$A$58),"")</f>
        <v/>
      </c>
      <c r="U10" s="299"/>
      <c r="V10" s="303" t="str">
        <f ca="1">IF(AND('Mapa final'!$H$46="Muy Alta",'Mapa final'!$L$46="Moderado"),CONCATENATE("R",'Mapa final'!$A$46),"")</f>
        <v/>
      </c>
      <c r="W10" s="300"/>
      <c r="X10" s="298" t="str">
        <f ca="1">IF(AND('Mapa final'!$H$52="Muy Alta",'Mapa final'!$L$52="Moderado"),CONCATENATE("R",'Mapa final'!$A$52),"")</f>
        <v/>
      </c>
      <c r="Y10" s="298"/>
      <c r="Z10" s="298" t="str">
        <f ca="1">IF(AND('Mapa final'!$H$58="Muy Alta",'Mapa final'!$L$58="Moderado"),CONCATENATE("R",'Mapa final'!$A$58),"")</f>
        <v/>
      </c>
      <c r="AA10" s="299"/>
      <c r="AB10" s="303" t="str">
        <f ca="1">IF(AND('Mapa final'!$H$46="Muy Alta",'Mapa final'!$L$46="Mayor"),CONCATENATE("R",'Mapa final'!$A$46),"")</f>
        <v/>
      </c>
      <c r="AC10" s="300"/>
      <c r="AD10" s="298" t="str">
        <f ca="1">IF(AND('Mapa final'!$H$52="Muy Alta",'Mapa final'!$L$52="Mayor"),CONCATENATE("R",'Mapa final'!$A$52),"")</f>
        <v/>
      </c>
      <c r="AE10" s="298"/>
      <c r="AF10" s="298" t="str">
        <f ca="1">IF(AND('Mapa final'!$H$58="Muy Alta",'Mapa final'!$L$58="Mayor"),CONCATENATE("R",'Mapa final'!$A$58),"")</f>
        <v/>
      </c>
      <c r="AG10" s="299"/>
      <c r="AH10" s="311" t="str">
        <f ca="1">IF(AND('Mapa final'!$H$46="Muy Alta",'Mapa final'!$L$46="Catastrófico"),CONCATENATE("R",'Mapa final'!$A$46),"")</f>
        <v/>
      </c>
      <c r="AI10" s="312"/>
      <c r="AJ10" s="312" t="str">
        <f ca="1">IF(AND('Mapa final'!$H$52="Muy Alta",'Mapa final'!$L$52="Catastrófico"),CONCATENATE("R",'Mapa final'!$A$52),"")</f>
        <v/>
      </c>
      <c r="AK10" s="312"/>
      <c r="AL10" s="312" t="str">
        <f ca="1">IF(AND('Mapa final'!$H$58="Muy Alta",'Mapa final'!$L$58="Catastrófico"),CONCATENATE("R",'Mapa final'!$A$58),"")</f>
        <v/>
      </c>
      <c r="AM10" s="313"/>
      <c r="AN10" s="84"/>
      <c r="AO10" s="256"/>
      <c r="AP10" s="257"/>
      <c r="AQ10" s="257"/>
      <c r="AR10" s="257"/>
      <c r="AS10" s="257"/>
      <c r="AT10" s="258"/>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251"/>
      <c r="C11" s="251"/>
      <c r="D11" s="252"/>
      <c r="E11" s="292"/>
      <c r="F11" s="293"/>
      <c r="G11" s="293"/>
      <c r="H11" s="293"/>
      <c r="I11" s="294"/>
      <c r="J11" s="303"/>
      <c r="K11" s="300"/>
      <c r="L11" s="298"/>
      <c r="M11" s="298"/>
      <c r="N11" s="298"/>
      <c r="O11" s="299"/>
      <c r="P11" s="303"/>
      <c r="Q11" s="300"/>
      <c r="R11" s="298"/>
      <c r="S11" s="298"/>
      <c r="T11" s="298"/>
      <c r="U11" s="299"/>
      <c r="V11" s="303"/>
      <c r="W11" s="300"/>
      <c r="X11" s="298"/>
      <c r="Y11" s="298"/>
      <c r="Z11" s="298"/>
      <c r="AA11" s="299"/>
      <c r="AB11" s="303"/>
      <c r="AC11" s="300"/>
      <c r="AD11" s="298"/>
      <c r="AE11" s="298"/>
      <c r="AF11" s="298"/>
      <c r="AG11" s="299"/>
      <c r="AH11" s="311"/>
      <c r="AI11" s="312"/>
      <c r="AJ11" s="312"/>
      <c r="AK11" s="312"/>
      <c r="AL11" s="312"/>
      <c r="AM11" s="313"/>
      <c r="AN11" s="84"/>
      <c r="AO11" s="256"/>
      <c r="AP11" s="257"/>
      <c r="AQ11" s="257"/>
      <c r="AR11" s="257"/>
      <c r="AS11" s="257"/>
      <c r="AT11" s="258"/>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251"/>
      <c r="C12" s="251"/>
      <c r="D12" s="252"/>
      <c r="E12" s="292"/>
      <c r="F12" s="293"/>
      <c r="G12" s="293"/>
      <c r="H12" s="293"/>
      <c r="I12" s="294"/>
      <c r="J12" s="303" t="str">
        <f ca="1">IF(AND('Mapa final'!$H$64="Muy Alta",'Mapa final'!$L$64="Leve"),CONCATENATE("R",'Mapa final'!$A$64),"")</f>
        <v/>
      </c>
      <c r="K12" s="300"/>
      <c r="L12" s="298" t="str">
        <f>IF(AND('Mapa final'!$H$70="Muy Alta",'Mapa final'!$L$70="Leve"),CONCATENATE("R",'Mapa final'!$A$70),"")</f>
        <v/>
      </c>
      <c r="M12" s="298"/>
      <c r="N12" s="298" t="str">
        <f>IF(AND('Mapa final'!$H$76="Muy Alta",'Mapa final'!$L$76="Leve"),CONCATENATE("R",'Mapa final'!$A$76),"")</f>
        <v/>
      </c>
      <c r="O12" s="299"/>
      <c r="P12" s="303" t="str">
        <f ca="1">IF(AND('Mapa final'!$H$64="Muy Alta",'Mapa final'!$L$64="Menor"),CONCATENATE("R",'Mapa final'!$A$64),"")</f>
        <v/>
      </c>
      <c r="Q12" s="300"/>
      <c r="R12" s="298" t="str">
        <f>IF(AND('Mapa final'!$H$70="Muy Alta",'Mapa final'!$L$70="Menor"),CONCATENATE("R",'Mapa final'!$A$70),"")</f>
        <v/>
      </c>
      <c r="S12" s="298"/>
      <c r="T12" s="298" t="str">
        <f>IF(AND('Mapa final'!$H$76="Muy Alta",'Mapa final'!$L$76="Menor"),CONCATENATE("R",'Mapa final'!$A$76),"")</f>
        <v/>
      </c>
      <c r="U12" s="299"/>
      <c r="V12" s="303" t="str">
        <f ca="1">IF(AND('Mapa final'!$H$64="Muy Alta",'Mapa final'!$L$64="Moderado"),CONCATENATE("R",'Mapa final'!$A$64),"")</f>
        <v/>
      </c>
      <c r="W12" s="300"/>
      <c r="X12" s="298" t="str">
        <f>IF(AND('Mapa final'!$H$70="Muy Alta",'Mapa final'!$L$70="Moderado"),CONCATENATE("R",'Mapa final'!$A$70),"")</f>
        <v/>
      </c>
      <c r="Y12" s="298"/>
      <c r="Z12" s="298" t="str">
        <f>IF(AND('Mapa final'!$H$76="Muy Alta",'Mapa final'!$L$76="Moderado"),CONCATENATE("R",'Mapa final'!$A$76),"")</f>
        <v/>
      </c>
      <c r="AA12" s="299"/>
      <c r="AB12" s="303" t="str">
        <f ca="1">IF(AND('Mapa final'!$H$64="Muy Alta",'Mapa final'!$L$64="Mayor"),CONCATENATE("R",'Mapa final'!$A$64),"")</f>
        <v/>
      </c>
      <c r="AC12" s="300"/>
      <c r="AD12" s="298" t="str">
        <f>IF(AND('Mapa final'!$H$70="Muy Alta",'Mapa final'!$L$70="Mayor"),CONCATENATE("R",'Mapa final'!$A$70),"")</f>
        <v/>
      </c>
      <c r="AE12" s="298"/>
      <c r="AF12" s="298" t="str">
        <f>IF(AND('Mapa final'!$H$76="Muy Alta",'Mapa final'!$L$76="Mayor"),CONCATENATE("R",'Mapa final'!$A$76),"")</f>
        <v/>
      </c>
      <c r="AG12" s="299"/>
      <c r="AH12" s="311" t="str">
        <f ca="1">IF(AND('Mapa final'!$H$64="Muy Alta",'Mapa final'!$L$64="Catastrófico"),CONCATENATE("R",'Mapa final'!$A$64),"")</f>
        <v/>
      </c>
      <c r="AI12" s="312"/>
      <c r="AJ12" s="312" t="str">
        <f>IF(AND('Mapa final'!$H$70="Muy Alta",'Mapa final'!$L$70="Catastrófico"),CONCATENATE("R",'Mapa final'!$A$70),"")</f>
        <v/>
      </c>
      <c r="AK12" s="312"/>
      <c r="AL12" s="312" t="str">
        <f>IF(AND('Mapa final'!$H$76="Muy Alta",'Mapa final'!$L$76="Catastrófico"),CONCATENATE("R",'Mapa final'!$A$76),"")</f>
        <v/>
      </c>
      <c r="AM12" s="313"/>
      <c r="AN12" s="84"/>
      <c r="AO12" s="256"/>
      <c r="AP12" s="257"/>
      <c r="AQ12" s="257"/>
      <c r="AR12" s="257"/>
      <c r="AS12" s="257"/>
      <c r="AT12" s="258"/>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251"/>
      <c r="C13" s="251"/>
      <c r="D13" s="252"/>
      <c r="E13" s="295"/>
      <c r="F13" s="296"/>
      <c r="G13" s="296"/>
      <c r="H13" s="296"/>
      <c r="I13" s="297"/>
      <c r="J13" s="303"/>
      <c r="K13" s="300"/>
      <c r="L13" s="300"/>
      <c r="M13" s="300"/>
      <c r="N13" s="300"/>
      <c r="O13" s="299"/>
      <c r="P13" s="303"/>
      <c r="Q13" s="300"/>
      <c r="R13" s="300"/>
      <c r="S13" s="300"/>
      <c r="T13" s="300"/>
      <c r="U13" s="299"/>
      <c r="V13" s="303"/>
      <c r="W13" s="300"/>
      <c r="X13" s="300"/>
      <c r="Y13" s="300"/>
      <c r="Z13" s="300"/>
      <c r="AA13" s="299"/>
      <c r="AB13" s="303"/>
      <c r="AC13" s="300"/>
      <c r="AD13" s="300"/>
      <c r="AE13" s="300"/>
      <c r="AF13" s="300"/>
      <c r="AG13" s="299"/>
      <c r="AH13" s="314"/>
      <c r="AI13" s="315"/>
      <c r="AJ13" s="315"/>
      <c r="AK13" s="315"/>
      <c r="AL13" s="315"/>
      <c r="AM13" s="316"/>
      <c r="AN13" s="84"/>
      <c r="AO13" s="259"/>
      <c r="AP13" s="260"/>
      <c r="AQ13" s="260"/>
      <c r="AR13" s="260"/>
      <c r="AS13" s="260"/>
      <c r="AT13" s="261"/>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251"/>
      <c r="C14" s="251"/>
      <c r="D14" s="252"/>
      <c r="E14" s="289" t="s">
        <v>115</v>
      </c>
      <c r="F14" s="290"/>
      <c r="G14" s="290"/>
      <c r="H14" s="290"/>
      <c r="I14" s="290"/>
      <c r="J14" s="326" t="str">
        <f ca="1">IF(AND('Mapa final'!$H$10="Alta",'Mapa final'!$L$10="Leve"),CONCATENATE("R",'Mapa final'!$A$10),"")</f>
        <v/>
      </c>
      <c r="K14" s="327"/>
      <c r="L14" s="327" t="str">
        <f ca="1">IF(AND('Mapa final'!$H$16="Alta",'Mapa final'!$L$16="Leve"),CONCATENATE("R",'Mapa final'!$A$16),"")</f>
        <v/>
      </c>
      <c r="M14" s="327"/>
      <c r="N14" s="327" t="str">
        <f ca="1">IF(AND('Mapa final'!$H$22="Alta",'Mapa final'!$L$22="Leve"),CONCATENATE("R",'Mapa final'!$A$22),"")</f>
        <v/>
      </c>
      <c r="O14" s="328"/>
      <c r="P14" s="326" t="str">
        <f ca="1">IF(AND('Mapa final'!$H$10="Alta",'Mapa final'!$L$10="Menor"),CONCATENATE("R",'Mapa final'!$A$10),"")</f>
        <v/>
      </c>
      <c r="Q14" s="327"/>
      <c r="R14" s="327" t="str">
        <f ca="1">IF(AND('Mapa final'!$H$16="Alta",'Mapa final'!$L$16="Menor"),CONCATENATE("R",'Mapa final'!$A$16),"")</f>
        <v/>
      </c>
      <c r="S14" s="327"/>
      <c r="T14" s="327" t="str">
        <f ca="1">IF(AND('Mapa final'!$H$22="Alta",'Mapa final'!$L$22="Menor"),CONCATENATE("R",'Mapa final'!$A$22),"")</f>
        <v/>
      </c>
      <c r="U14" s="328"/>
      <c r="V14" s="301" t="str">
        <f ca="1">IF(AND('Mapa final'!$H$10="Alta",'Mapa final'!$L$10="Moderado"),CONCATENATE("R",'Mapa final'!$A$10),"")</f>
        <v/>
      </c>
      <c r="W14" s="302"/>
      <c r="X14" s="302" t="str">
        <f ca="1">IF(AND('Mapa final'!$H$16="Alta",'Mapa final'!$L$16="Moderado"),CONCATENATE("R",'Mapa final'!$A$16),"")</f>
        <v/>
      </c>
      <c r="Y14" s="302"/>
      <c r="Z14" s="302" t="str">
        <f ca="1">IF(AND('Mapa final'!$H$22="Alta",'Mapa final'!$L$22="Moderado"),CONCATENATE("R",'Mapa final'!$A$22),"")</f>
        <v/>
      </c>
      <c r="AA14" s="304"/>
      <c r="AB14" s="301" t="str">
        <f ca="1">IF(AND('Mapa final'!$H$10="Alta",'Mapa final'!$L$10="Mayor"),CONCATENATE("R",'Mapa final'!$A$10),"")</f>
        <v/>
      </c>
      <c r="AC14" s="302"/>
      <c r="AD14" s="302" t="str">
        <f ca="1">IF(AND('Mapa final'!$H$16="Alta",'Mapa final'!$L$16="Mayor"),CONCATENATE("R",'Mapa final'!$A$16),"")</f>
        <v/>
      </c>
      <c r="AE14" s="302"/>
      <c r="AF14" s="302" t="str">
        <f ca="1">IF(AND('Mapa final'!$H$22="Alta",'Mapa final'!$L$22="Mayor"),CONCATENATE("R",'Mapa final'!$A$22),"")</f>
        <v/>
      </c>
      <c r="AG14" s="304"/>
      <c r="AH14" s="317" t="str">
        <f ca="1">IF(AND('Mapa final'!$H$10="Alta",'Mapa final'!$L$10="Catastrófico"),CONCATENATE("R",'Mapa final'!$A$10),"")</f>
        <v/>
      </c>
      <c r="AI14" s="318"/>
      <c r="AJ14" s="318" t="str">
        <f ca="1">IF(AND('Mapa final'!$H$16="Alta",'Mapa final'!$L$16="Catastrófico"),CONCATENATE("R",'Mapa final'!$A$16),"")</f>
        <v/>
      </c>
      <c r="AK14" s="318"/>
      <c r="AL14" s="318" t="str">
        <f ca="1">IF(AND('Mapa final'!$H$22="Alta",'Mapa final'!$L$22="Catastrófico"),CONCATENATE("R",'Mapa final'!$A$22),"")</f>
        <v/>
      </c>
      <c r="AM14" s="319"/>
      <c r="AN14" s="84"/>
      <c r="AO14" s="262" t="s">
        <v>80</v>
      </c>
      <c r="AP14" s="263"/>
      <c r="AQ14" s="263"/>
      <c r="AR14" s="263"/>
      <c r="AS14" s="263"/>
      <c r="AT14" s="26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251"/>
      <c r="C15" s="251"/>
      <c r="D15" s="252"/>
      <c r="E15" s="292"/>
      <c r="F15" s="293"/>
      <c r="G15" s="293"/>
      <c r="H15" s="293"/>
      <c r="I15" s="306"/>
      <c r="J15" s="320"/>
      <c r="K15" s="321"/>
      <c r="L15" s="321"/>
      <c r="M15" s="321"/>
      <c r="N15" s="321"/>
      <c r="O15" s="322"/>
      <c r="P15" s="320"/>
      <c r="Q15" s="321"/>
      <c r="R15" s="321"/>
      <c r="S15" s="321"/>
      <c r="T15" s="321"/>
      <c r="U15" s="322"/>
      <c r="V15" s="303"/>
      <c r="W15" s="300"/>
      <c r="X15" s="300"/>
      <c r="Y15" s="300"/>
      <c r="Z15" s="300"/>
      <c r="AA15" s="299"/>
      <c r="AB15" s="303"/>
      <c r="AC15" s="300"/>
      <c r="AD15" s="300"/>
      <c r="AE15" s="300"/>
      <c r="AF15" s="300"/>
      <c r="AG15" s="299"/>
      <c r="AH15" s="311"/>
      <c r="AI15" s="312"/>
      <c r="AJ15" s="312"/>
      <c r="AK15" s="312"/>
      <c r="AL15" s="312"/>
      <c r="AM15" s="313"/>
      <c r="AN15" s="84"/>
      <c r="AO15" s="265"/>
      <c r="AP15" s="266"/>
      <c r="AQ15" s="266"/>
      <c r="AR15" s="266"/>
      <c r="AS15" s="266"/>
      <c r="AT15" s="267"/>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251"/>
      <c r="C16" s="251"/>
      <c r="D16" s="252"/>
      <c r="E16" s="292"/>
      <c r="F16" s="293"/>
      <c r="G16" s="293"/>
      <c r="H16" s="293"/>
      <c r="I16" s="306"/>
      <c r="J16" s="320" t="str">
        <f ca="1">IF(AND('Mapa final'!$H$28="Alta",'Mapa final'!$L$28="Leve"),CONCATENATE("R",'Mapa final'!$A$28),"")</f>
        <v/>
      </c>
      <c r="K16" s="321"/>
      <c r="L16" s="321" t="str">
        <f ca="1">IF(AND('Mapa final'!$H$34="Alta",'Mapa final'!$L$34="Leve"),CONCATENATE("R",'Mapa final'!$A$34),"")</f>
        <v/>
      </c>
      <c r="M16" s="321"/>
      <c r="N16" s="321" t="str">
        <f ca="1">IF(AND('Mapa final'!$H$40="Alta",'Mapa final'!$L$40="Leve"),CONCATENATE("R",'Mapa final'!$A$40),"")</f>
        <v/>
      </c>
      <c r="O16" s="322"/>
      <c r="P16" s="320" t="str">
        <f ca="1">IF(AND('Mapa final'!$H$28="Alta",'Mapa final'!$L$28="Menor"),CONCATENATE("R",'Mapa final'!$A$28),"")</f>
        <v/>
      </c>
      <c r="Q16" s="321"/>
      <c r="R16" s="321" t="str">
        <f ca="1">IF(AND('Mapa final'!$H$34="Alta",'Mapa final'!$L$34="Menor"),CONCATENATE("R",'Mapa final'!$A$34),"")</f>
        <v/>
      </c>
      <c r="S16" s="321"/>
      <c r="T16" s="321" t="str">
        <f ca="1">IF(AND('Mapa final'!$H$40="Alta",'Mapa final'!$L$40="Menor"),CONCATENATE("R",'Mapa final'!$A$40),"")</f>
        <v/>
      </c>
      <c r="U16" s="322"/>
      <c r="V16" s="303" t="str">
        <f ca="1">IF(AND('Mapa final'!$H$28="Alta",'Mapa final'!$L$28="Moderado"),CONCATENATE("R",'Mapa final'!$A$28),"")</f>
        <v/>
      </c>
      <c r="W16" s="300"/>
      <c r="X16" s="298" t="str">
        <f ca="1">IF(AND('Mapa final'!$H$34="Alta",'Mapa final'!$L$34="Moderado"),CONCATENATE("R",'Mapa final'!$A$34),"")</f>
        <v/>
      </c>
      <c r="Y16" s="298"/>
      <c r="Z16" s="298" t="str">
        <f ca="1">IF(AND('Mapa final'!$H$40="Alta",'Mapa final'!$L$40="Moderado"),CONCATENATE("R",'Mapa final'!$A$40),"")</f>
        <v/>
      </c>
      <c r="AA16" s="299"/>
      <c r="AB16" s="303" t="str">
        <f ca="1">IF(AND('Mapa final'!$H$28="Alta",'Mapa final'!$L$28="Mayor"),CONCATENATE("R",'Mapa final'!$A$28),"")</f>
        <v/>
      </c>
      <c r="AC16" s="300"/>
      <c r="AD16" s="298" t="str">
        <f ca="1">IF(AND('Mapa final'!$H$34="Alta",'Mapa final'!$L$34="Mayor"),CONCATENATE("R",'Mapa final'!$A$34),"")</f>
        <v/>
      </c>
      <c r="AE16" s="298"/>
      <c r="AF16" s="298" t="str">
        <f ca="1">IF(AND('Mapa final'!$H$40="Alta",'Mapa final'!$L$40="Mayor"),CONCATENATE("R",'Mapa final'!$A$40),"")</f>
        <v/>
      </c>
      <c r="AG16" s="299"/>
      <c r="AH16" s="311" t="str">
        <f ca="1">IF(AND('Mapa final'!$H$28="Alta",'Mapa final'!$L$28="Catastrófico"),CONCATENATE("R",'Mapa final'!$A$28),"")</f>
        <v/>
      </c>
      <c r="AI16" s="312"/>
      <c r="AJ16" s="312" t="str">
        <f ca="1">IF(AND('Mapa final'!$H$34="Alta",'Mapa final'!$L$34="Catastrófico"),CONCATENATE("R",'Mapa final'!$A$34),"")</f>
        <v/>
      </c>
      <c r="AK16" s="312"/>
      <c r="AL16" s="312" t="str">
        <f ca="1">IF(AND('Mapa final'!$H$40="Alta",'Mapa final'!$L$40="Catastrófico"),CONCATENATE("R",'Mapa final'!$A$40),"")</f>
        <v/>
      </c>
      <c r="AM16" s="313"/>
      <c r="AN16" s="84"/>
      <c r="AO16" s="265"/>
      <c r="AP16" s="266"/>
      <c r="AQ16" s="266"/>
      <c r="AR16" s="266"/>
      <c r="AS16" s="266"/>
      <c r="AT16" s="267"/>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251"/>
      <c r="C17" s="251"/>
      <c r="D17" s="252"/>
      <c r="E17" s="292"/>
      <c r="F17" s="293"/>
      <c r="G17" s="293"/>
      <c r="H17" s="293"/>
      <c r="I17" s="306"/>
      <c r="J17" s="320"/>
      <c r="K17" s="321"/>
      <c r="L17" s="321"/>
      <c r="M17" s="321"/>
      <c r="N17" s="321"/>
      <c r="O17" s="322"/>
      <c r="P17" s="320"/>
      <c r="Q17" s="321"/>
      <c r="R17" s="321"/>
      <c r="S17" s="321"/>
      <c r="T17" s="321"/>
      <c r="U17" s="322"/>
      <c r="V17" s="303"/>
      <c r="W17" s="300"/>
      <c r="X17" s="298"/>
      <c r="Y17" s="298"/>
      <c r="Z17" s="298"/>
      <c r="AA17" s="299"/>
      <c r="AB17" s="303"/>
      <c r="AC17" s="300"/>
      <c r="AD17" s="298"/>
      <c r="AE17" s="298"/>
      <c r="AF17" s="298"/>
      <c r="AG17" s="299"/>
      <c r="AH17" s="311"/>
      <c r="AI17" s="312"/>
      <c r="AJ17" s="312"/>
      <c r="AK17" s="312"/>
      <c r="AL17" s="312"/>
      <c r="AM17" s="313"/>
      <c r="AN17" s="84"/>
      <c r="AO17" s="265"/>
      <c r="AP17" s="266"/>
      <c r="AQ17" s="266"/>
      <c r="AR17" s="266"/>
      <c r="AS17" s="266"/>
      <c r="AT17" s="267"/>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251"/>
      <c r="C18" s="251"/>
      <c r="D18" s="252"/>
      <c r="E18" s="292"/>
      <c r="F18" s="293"/>
      <c r="G18" s="293"/>
      <c r="H18" s="293"/>
      <c r="I18" s="306"/>
      <c r="J18" s="320" t="str">
        <f ca="1">IF(AND('Mapa final'!$H$46="Alta",'Mapa final'!$L$46="Leve"),CONCATENATE("R",'Mapa final'!$A$46),"")</f>
        <v/>
      </c>
      <c r="K18" s="321"/>
      <c r="L18" s="321" t="str">
        <f ca="1">IF(AND('Mapa final'!$H$52="Alta",'Mapa final'!$L$52="Leve"),CONCATENATE("R",'Mapa final'!$A$52),"")</f>
        <v/>
      </c>
      <c r="M18" s="321"/>
      <c r="N18" s="321" t="str">
        <f ca="1">IF(AND('Mapa final'!$H$58="Alta",'Mapa final'!$L$58="Leve"),CONCATENATE("R",'Mapa final'!$A$58),"")</f>
        <v/>
      </c>
      <c r="O18" s="322"/>
      <c r="P18" s="320" t="str">
        <f ca="1">IF(AND('Mapa final'!$H$46="Alta",'Mapa final'!$L$46="Menor"),CONCATENATE("R",'Mapa final'!$A$46),"")</f>
        <v/>
      </c>
      <c r="Q18" s="321"/>
      <c r="R18" s="321" t="str">
        <f ca="1">IF(AND('Mapa final'!$H$52="Alta",'Mapa final'!$L$52="Menor"),CONCATENATE("R",'Mapa final'!$A$52),"")</f>
        <v/>
      </c>
      <c r="S18" s="321"/>
      <c r="T18" s="321" t="str">
        <f ca="1">IF(AND('Mapa final'!$H$58="Alta",'Mapa final'!$L$58="Menor"),CONCATENATE("R",'Mapa final'!$A$58),"")</f>
        <v/>
      </c>
      <c r="U18" s="322"/>
      <c r="V18" s="303" t="str">
        <f ca="1">IF(AND('Mapa final'!$H$46="Alta",'Mapa final'!$L$46="Moderado"),CONCATENATE("R",'Mapa final'!$A$46),"")</f>
        <v/>
      </c>
      <c r="W18" s="300"/>
      <c r="X18" s="298" t="str">
        <f ca="1">IF(AND('Mapa final'!$H$52="Alta",'Mapa final'!$L$52="Moderado"),CONCATENATE("R",'Mapa final'!$A$52),"")</f>
        <v/>
      </c>
      <c r="Y18" s="298"/>
      <c r="Z18" s="298" t="str">
        <f ca="1">IF(AND('Mapa final'!$H$58="Alta",'Mapa final'!$L$58="Moderado"),CONCATENATE("R",'Mapa final'!$A$58),"")</f>
        <v/>
      </c>
      <c r="AA18" s="299"/>
      <c r="AB18" s="303" t="str">
        <f ca="1">IF(AND('Mapa final'!$H$46="Alta",'Mapa final'!$L$46="Mayor"),CONCATENATE("R",'Mapa final'!$A$46),"")</f>
        <v/>
      </c>
      <c r="AC18" s="300"/>
      <c r="AD18" s="298" t="str">
        <f ca="1">IF(AND('Mapa final'!$H$52="Alta",'Mapa final'!$L$52="Mayor"),CONCATENATE("R",'Mapa final'!$A$52),"")</f>
        <v/>
      </c>
      <c r="AE18" s="298"/>
      <c r="AF18" s="298" t="str">
        <f ca="1">IF(AND('Mapa final'!$H$58="Alta",'Mapa final'!$L$58="Mayor"),CONCATENATE("R",'Mapa final'!$A$58),"")</f>
        <v/>
      </c>
      <c r="AG18" s="299"/>
      <c r="AH18" s="311" t="str">
        <f ca="1">IF(AND('Mapa final'!$H$46="Alta",'Mapa final'!$L$46="Catastrófico"),CONCATENATE("R",'Mapa final'!$A$46),"")</f>
        <v/>
      </c>
      <c r="AI18" s="312"/>
      <c r="AJ18" s="312" t="str">
        <f ca="1">IF(AND('Mapa final'!$H$52="Alta",'Mapa final'!$L$52="Catastrófico"),CONCATENATE("R",'Mapa final'!$A$52),"")</f>
        <v/>
      </c>
      <c r="AK18" s="312"/>
      <c r="AL18" s="312" t="str">
        <f ca="1">IF(AND('Mapa final'!$H$58="Alta",'Mapa final'!$L$58="Catastrófico"),CONCATENATE("R",'Mapa final'!$A$58),"")</f>
        <v/>
      </c>
      <c r="AM18" s="313"/>
      <c r="AN18" s="84"/>
      <c r="AO18" s="265"/>
      <c r="AP18" s="266"/>
      <c r="AQ18" s="266"/>
      <c r="AR18" s="266"/>
      <c r="AS18" s="266"/>
      <c r="AT18" s="267"/>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251"/>
      <c r="C19" s="251"/>
      <c r="D19" s="252"/>
      <c r="E19" s="292"/>
      <c r="F19" s="293"/>
      <c r="G19" s="293"/>
      <c r="H19" s="293"/>
      <c r="I19" s="306"/>
      <c r="J19" s="320"/>
      <c r="K19" s="321"/>
      <c r="L19" s="321"/>
      <c r="M19" s="321"/>
      <c r="N19" s="321"/>
      <c r="O19" s="322"/>
      <c r="P19" s="320"/>
      <c r="Q19" s="321"/>
      <c r="R19" s="321"/>
      <c r="S19" s="321"/>
      <c r="T19" s="321"/>
      <c r="U19" s="322"/>
      <c r="V19" s="303"/>
      <c r="W19" s="300"/>
      <c r="X19" s="298"/>
      <c r="Y19" s="298"/>
      <c r="Z19" s="298"/>
      <c r="AA19" s="299"/>
      <c r="AB19" s="303"/>
      <c r="AC19" s="300"/>
      <c r="AD19" s="298"/>
      <c r="AE19" s="298"/>
      <c r="AF19" s="298"/>
      <c r="AG19" s="299"/>
      <c r="AH19" s="311"/>
      <c r="AI19" s="312"/>
      <c r="AJ19" s="312"/>
      <c r="AK19" s="312"/>
      <c r="AL19" s="312"/>
      <c r="AM19" s="313"/>
      <c r="AN19" s="84"/>
      <c r="AO19" s="265"/>
      <c r="AP19" s="266"/>
      <c r="AQ19" s="266"/>
      <c r="AR19" s="266"/>
      <c r="AS19" s="266"/>
      <c r="AT19" s="267"/>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251"/>
      <c r="C20" s="251"/>
      <c r="D20" s="252"/>
      <c r="E20" s="292"/>
      <c r="F20" s="293"/>
      <c r="G20" s="293"/>
      <c r="H20" s="293"/>
      <c r="I20" s="306"/>
      <c r="J20" s="320" t="str">
        <f ca="1">IF(AND('Mapa final'!$H$64="Alta",'Mapa final'!$L$64="Leve"),CONCATENATE("R",'Mapa final'!$A$64),"")</f>
        <v/>
      </c>
      <c r="K20" s="321"/>
      <c r="L20" s="321" t="str">
        <f>IF(AND('Mapa final'!$H$70="Alta",'Mapa final'!$L$70="Leve"),CONCATENATE("R",'Mapa final'!$A$70),"")</f>
        <v/>
      </c>
      <c r="M20" s="321"/>
      <c r="N20" s="321" t="str">
        <f>IF(AND('Mapa final'!$H$76="Alta",'Mapa final'!$L$76="Leve"),CONCATENATE("R",'Mapa final'!$A$76),"")</f>
        <v/>
      </c>
      <c r="O20" s="322"/>
      <c r="P20" s="320" t="str">
        <f ca="1">IF(AND('Mapa final'!$H$64="Alta",'Mapa final'!$L$64="Menor"),CONCATENATE("R",'Mapa final'!$A$64),"")</f>
        <v/>
      </c>
      <c r="Q20" s="321"/>
      <c r="R20" s="321" t="str">
        <f>IF(AND('Mapa final'!$H$70="Alta",'Mapa final'!$L$70="Menor"),CONCATENATE("R",'Mapa final'!$A$70),"")</f>
        <v/>
      </c>
      <c r="S20" s="321"/>
      <c r="T20" s="321" t="str">
        <f>IF(AND('Mapa final'!$H$76="Alta",'Mapa final'!$L$76="Menor"),CONCATENATE("R",'Mapa final'!$A$76),"")</f>
        <v/>
      </c>
      <c r="U20" s="322"/>
      <c r="V20" s="303" t="str">
        <f ca="1">IF(AND('Mapa final'!$H$64="Alta",'Mapa final'!$L$64="Moderado"),CONCATENATE("R",'Mapa final'!$A$64),"")</f>
        <v/>
      </c>
      <c r="W20" s="300"/>
      <c r="X20" s="298" t="str">
        <f>IF(AND('Mapa final'!$H$70="Alta",'Mapa final'!$L$70="Moderado"),CONCATENATE("R",'Mapa final'!$A$70),"")</f>
        <v/>
      </c>
      <c r="Y20" s="298"/>
      <c r="Z20" s="298" t="str">
        <f>IF(AND('Mapa final'!$H$76="Alta",'Mapa final'!$L$76="Moderado"),CONCATENATE("R",'Mapa final'!$A$76),"")</f>
        <v/>
      </c>
      <c r="AA20" s="299"/>
      <c r="AB20" s="303" t="str">
        <f ca="1">IF(AND('Mapa final'!$H$64="Alta",'Mapa final'!$L$64="Mayor"),CONCATENATE("R",'Mapa final'!$A$64),"")</f>
        <v/>
      </c>
      <c r="AC20" s="300"/>
      <c r="AD20" s="298" t="str">
        <f>IF(AND('Mapa final'!$H$70="Alta",'Mapa final'!$L$70="Mayor"),CONCATENATE("R",'Mapa final'!$A$70),"")</f>
        <v/>
      </c>
      <c r="AE20" s="298"/>
      <c r="AF20" s="298" t="str">
        <f>IF(AND('Mapa final'!$H$76="Alta",'Mapa final'!$L$76="Mayor"),CONCATENATE("R",'Mapa final'!$A$76),"")</f>
        <v/>
      </c>
      <c r="AG20" s="299"/>
      <c r="AH20" s="311" t="str">
        <f ca="1">IF(AND('Mapa final'!$H$64="Alta",'Mapa final'!$L$64="Catastrófico"),CONCATENATE("R",'Mapa final'!$A$64),"")</f>
        <v/>
      </c>
      <c r="AI20" s="312"/>
      <c r="AJ20" s="312" t="str">
        <f>IF(AND('Mapa final'!$H$70="Alta",'Mapa final'!$L$70="Catastrófico"),CONCATENATE("R",'Mapa final'!$A$70),"")</f>
        <v/>
      </c>
      <c r="AK20" s="312"/>
      <c r="AL20" s="312" t="str">
        <f>IF(AND('Mapa final'!$H$76="Alta",'Mapa final'!$L$76="Catastrófico"),CONCATENATE("R",'Mapa final'!$A$76),"")</f>
        <v/>
      </c>
      <c r="AM20" s="313"/>
      <c r="AN20" s="84"/>
      <c r="AO20" s="265"/>
      <c r="AP20" s="266"/>
      <c r="AQ20" s="266"/>
      <c r="AR20" s="266"/>
      <c r="AS20" s="266"/>
      <c r="AT20" s="267"/>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251"/>
      <c r="C21" s="251"/>
      <c r="D21" s="252"/>
      <c r="E21" s="295"/>
      <c r="F21" s="296"/>
      <c r="G21" s="296"/>
      <c r="H21" s="296"/>
      <c r="I21" s="296"/>
      <c r="J21" s="323"/>
      <c r="K21" s="324"/>
      <c r="L21" s="324"/>
      <c r="M21" s="324"/>
      <c r="N21" s="324"/>
      <c r="O21" s="325"/>
      <c r="P21" s="323"/>
      <c r="Q21" s="324"/>
      <c r="R21" s="324"/>
      <c r="S21" s="324"/>
      <c r="T21" s="324"/>
      <c r="U21" s="325"/>
      <c r="V21" s="308"/>
      <c r="W21" s="309"/>
      <c r="X21" s="309"/>
      <c r="Y21" s="309"/>
      <c r="Z21" s="309"/>
      <c r="AA21" s="310"/>
      <c r="AB21" s="308"/>
      <c r="AC21" s="309"/>
      <c r="AD21" s="309"/>
      <c r="AE21" s="309"/>
      <c r="AF21" s="309"/>
      <c r="AG21" s="310"/>
      <c r="AH21" s="314"/>
      <c r="AI21" s="315"/>
      <c r="AJ21" s="315"/>
      <c r="AK21" s="315"/>
      <c r="AL21" s="315"/>
      <c r="AM21" s="316"/>
      <c r="AN21" s="84"/>
      <c r="AO21" s="268"/>
      <c r="AP21" s="269"/>
      <c r="AQ21" s="269"/>
      <c r="AR21" s="269"/>
      <c r="AS21" s="269"/>
      <c r="AT21" s="270"/>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251"/>
      <c r="C22" s="251"/>
      <c r="D22" s="252"/>
      <c r="E22" s="289" t="s">
        <v>117</v>
      </c>
      <c r="F22" s="290"/>
      <c r="G22" s="290"/>
      <c r="H22" s="290"/>
      <c r="I22" s="291"/>
      <c r="J22" s="326" t="str">
        <f ca="1">IF(AND('Mapa final'!$H$10="Media",'Mapa final'!$L$10="Leve"),CONCATENATE("R",'Mapa final'!$A$10),"")</f>
        <v/>
      </c>
      <c r="K22" s="327"/>
      <c r="L22" s="327" t="str">
        <f ca="1">IF(AND('Mapa final'!$H$16="Media",'Mapa final'!$L$16="Leve"),CONCATENATE("R",'Mapa final'!$A$16),"")</f>
        <v>R2</v>
      </c>
      <c r="M22" s="327"/>
      <c r="N22" s="327" t="str">
        <f ca="1">IF(AND('Mapa final'!$H$22="Media",'Mapa final'!$L$22="Leve"),CONCATENATE("R",'Mapa final'!$A$22),"")</f>
        <v/>
      </c>
      <c r="O22" s="328"/>
      <c r="P22" s="326" t="str">
        <f ca="1">IF(AND('Mapa final'!$H$10="Media",'Mapa final'!$L$10="Menor"),CONCATENATE("R",'Mapa final'!$A$10),"")</f>
        <v>R1</v>
      </c>
      <c r="Q22" s="327"/>
      <c r="R22" s="327" t="str">
        <f ca="1">IF(AND('Mapa final'!$H$16="Media",'Mapa final'!$L$16="Menor"),CONCATENATE("R",'Mapa final'!$A$16),"")</f>
        <v/>
      </c>
      <c r="S22" s="327"/>
      <c r="T22" s="327" t="str">
        <f ca="1">IF(AND('Mapa final'!$H$22="Media",'Mapa final'!$L$22="Menor"),CONCATENATE("R",'Mapa final'!$A$22),"")</f>
        <v/>
      </c>
      <c r="U22" s="328"/>
      <c r="V22" s="326" t="str">
        <f ca="1">IF(AND('Mapa final'!$H$10="Media",'Mapa final'!$L$10="Moderado"),CONCATENATE("R",'Mapa final'!$A$10),"")</f>
        <v/>
      </c>
      <c r="W22" s="327"/>
      <c r="X22" s="327" t="str">
        <f ca="1">IF(AND('Mapa final'!$H$16="Media",'Mapa final'!$L$16="Moderado"),CONCATENATE("R",'Mapa final'!$A$16),"")</f>
        <v/>
      </c>
      <c r="Y22" s="327"/>
      <c r="Z22" s="327" t="str">
        <f ca="1">IF(AND('Mapa final'!$H$22="Media",'Mapa final'!$L$22="Moderado"),CONCATENATE("R",'Mapa final'!$A$22),"")</f>
        <v/>
      </c>
      <c r="AA22" s="328"/>
      <c r="AB22" s="301" t="str">
        <f ca="1">IF(AND('Mapa final'!$H$10="Media",'Mapa final'!$L$10="Mayor"),CONCATENATE("R",'Mapa final'!$A$10),"")</f>
        <v/>
      </c>
      <c r="AC22" s="302"/>
      <c r="AD22" s="302" t="str">
        <f ca="1">IF(AND('Mapa final'!$H$16="Media",'Mapa final'!$L$16="Mayor"),CONCATENATE("R",'Mapa final'!$A$16),"")</f>
        <v/>
      </c>
      <c r="AE22" s="302"/>
      <c r="AF22" s="302" t="str">
        <f ca="1">IF(AND('Mapa final'!$H$22="Media",'Mapa final'!$L$22="Mayor"),CONCATENATE("R",'Mapa final'!$A$22),"")</f>
        <v/>
      </c>
      <c r="AG22" s="304"/>
      <c r="AH22" s="317" t="str">
        <f ca="1">IF(AND('Mapa final'!$H$10="Media",'Mapa final'!$L$10="Catastrófico"),CONCATENATE("R",'Mapa final'!$A$10),"")</f>
        <v/>
      </c>
      <c r="AI22" s="318"/>
      <c r="AJ22" s="318" t="str">
        <f ca="1">IF(AND('Mapa final'!$H$16="Media",'Mapa final'!$L$16="Catastrófico"),CONCATENATE("R",'Mapa final'!$A$16),"")</f>
        <v/>
      </c>
      <c r="AK22" s="318"/>
      <c r="AL22" s="318" t="str">
        <f ca="1">IF(AND('Mapa final'!$H$22="Media",'Mapa final'!$L$22="Catastrófico"),CONCATENATE("R",'Mapa final'!$A$22),"")</f>
        <v/>
      </c>
      <c r="AM22" s="319"/>
      <c r="AN22" s="84"/>
      <c r="AO22" s="271" t="s">
        <v>81</v>
      </c>
      <c r="AP22" s="272"/>
      <c r="AQ22" s="272"/>
      <c r="AR22" s="272"/>
      <c r="AS22" s="272"/>
      <c r="AT22" s="273"/>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251"/>
      <c r="C23" s="251"/>
      <c r="D23" s="252"/>
      <c r="E23" s="292"/>
      <c r="F23" s="293"/>
      <c r="G23" s="293"/>
      <c r="H23" s="293"/>
      <c r="I23" s="294"/>
      <c r="J23" s="320"/>
      <c r="K23" s="321"/>
      <c r="L23" s="321"/>
      <c r="M23" s="321"/>
      <c r="N23" s="321"/>
      <c r="O23" s="322"/>
      <c r="P23" s="320"/>
      <c r="Q23" s="321"/>
      <c r="R23" s="321"/>
      <c r="S23" s="321"/>
      <c r="T23" s="321"/>
      <c r="U23" s="322"/>
      <c r="V23" s="320"/>
      <c r="W23" s="321"/>
      <c r="X23" s="321"/>
      <c r="Y23" s="321"/>
      <c r="Z23" s="321"/>
      <c r="AA23" s="322"/>
      <c r="AB23" s="303"/>
      <c r="AC23" s="300"/>
      <c r="AD23" s="300"/>
      <c r="AE23" s="300"/>
      <c r="AF23" s="300"/>
      <c r="AG23" s="299"/>
      <c r="AH23" s="311"/>
      <c r="AI23" s="312"/>
      <c r="AJ23" s="312"/>
      <c r="AK23" s="312"/>
      <c r="AL23" s="312"/>
      <c r="AM23" s="313"/>
      <c r="AN23" s="84"/>
      <c r="AO23" s="274"/>
      <c r="AP23" s="275"/>
      <c r="AQ23" s="275"/>
      <c r="AR23" s="275"/>
      <c r="AS23" s="275"/>
      <c r="AT23" s="276"/>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251"/>
      <c r="C24" s="251"/>
      <c r="D24" s="252"/>
      <c r="E24" s="292"/>
      <c r="F24" s="293"/>
      <c r="G24" s="293"/>
      <c r="H24" s="293"/>
      <c r="I24" s="294"/>
      <c r="J24" s="320" t="str">
        <f ca="1">IF(AND('Mapa final'!$H$28="Media",'Mapa final'!$L$28="Leve"),CONCATENATE("R",'Mapa final'!$A$28),"")</f>
        <v/>
      </c>
      <c r="K24" s="321"/>
      <c r="L24" s="321" t="str">
        <f ca="1">IF(AND('Mapa final'!$H$34="Media",'Mapa final'!$L$34="Leve"),CONCATENATE("R",'Mapa final'!$A$34),"")</f>
        <v/>
      </c>
      <c r="M24" s="321"/>
      <c r="N24" s="321" t="str">
        <f ca="1">IF(AND('Mapa final'!$H$40="Media",'Mapa final'!$L$40="Leve"),CONCATENATE("R",'Mapa final'!$A$40),"")</f>
        <v/>
      </c>
      <c r="O24" s="322"/>
      <c r="P24" s="320" t="str">
        <f ca="1">IF(AND('Mapa final'!$H$28="Media",'Mapa final'!$L$28="Menor"),CONCATENATE("R",'Mapa final'!$A$28),"")</f>
        <v/>
      </c>
      <c r="Q24" s="321"/>
      <c r="R24" s="321" t="str">
        <f ca="1">IF(AND('Mapa final'!$H$34="Media",'Mapa final'!$L$34="Menor"),CONCATENATE("R",'Mapa final'!$A$34),"")</f>
        <v/>
      </c>
      <c r="S24" s="321"/>
      <c r="T24" s="321" t="str">
        <f ca="1">IF(AND('Mapa final'!$H$40="Media",'Mapa final'!$L$40="Menor"),CONCATENATE("R",'Mapa final'!$A$40),"")</f>
        <v/>
      </c>
      <c r="U24" s="322"/>
      <c r="V24" s="320" t="str">
        <f ca="1">IF(AND('Mapa final'!$H$28="Media",'Mapa final'!$L$28="Moderado"),CONCATENATE("R",'Mapa final'!$A$28),"")</f>
        <v/>
      </c>
      <c r="W24" s="321"/>
      <c r="X24" s="321" t="str">
        <f ca="1">IF(AND('Mapa final'!$H$34="Media",'Mapa final'!$L$34="Moderado"),CONCATENATE("R",'Mapa final'!$A$34),"")</f>
        <v/>
      </c>
      <c r="Y24" s="321"/>
      <c r="Z24" s="321" t="str">
        <f ca="1">IF(AND('Mapa final'!$H$40="Media",'Mapa final'!$L$40="Moderado"),CONCATENATE("R",'Mapa final'!$A$40),"")</f>
        <v/>
      </c>
      <c r="AA24" s="322"/>
      <c r="AB24" s="303" t="str">
        <f ca="1">IF(AND('Mapa final'!$H$28="Media",'Mapa final'!$L$28="Mayor"),CONCATENATE("R",'Mapa final'!$A$28),"")</f>
        <v/>
      </c>
      <c r="AC24" s="300"/>
      <c r="AD24" s="298" t="str">
        <f ca="1">IF(AND('Mapa final'!$H$34="Media",'Mapa final'!$L$34="Mayor"),CONCATENATE("R",'Mapa final'!$A$34),"")</f>
        <v/>
      </c>
      <c r="AE24" s="298"/>
      <c r="AF24" s="298" t="str">
        <f ca="1">IF(AND('Mapa final'!$H$40="Media",'Mapa final'!$L$40="Mayor"),CONCATENATE("R",'Mapa final'!$A$40),"")</f>
        <v/>
      </c>
      <c r="AG24" s="299"/>
      <c r="AH24" s="311" t="str">
        <f ca="1">IF(AND('Mapa final'!$H$28="Media",'Mapa final'!$L$28="Catastrófico"),CONCATENATE("R",'Mapa final'!$A$28),"")</f>
        <v/>
      </c>
      <c r="AI24" s="312"/>
      <c r="AJ24" s="312" t="str">
        <f ca="1">IF(AND('Mapa final'!$H$34="Media",'Mapa final'!$L$34="Catastrófico"),CONCATENATE("R",'Mapa final'!$A$34),"")</f>
        <v/>
      </c>
      <c r="AK24" s="312"/>
      <c r="AL24" s="312" t="str">
        <f ca="1">IF(AND('Mapa final'!$H$40="Media",'Mapa final'!$L$40="Catastrófico"),CONCATENATE("R",'Mapa final'!$A$40),"")</f>
        <v/>
      </c>
      <c r="AM24" s="313"/>
      <c r="AN24" s="84"/>
      <c r="AO24" s="274"/>
      <c r="AP24" s="275"/>
      <c r="AQ24" s="275"/>
      <c r="AR24" s="275"/>
      <c r="AS24" s="275"/>
      <c r="AT24" s="276"/>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251"/>
      <c r="C25" s="251"/>
      <c r="D25" s="252"/>
      <c r="E25" s="292"/>
      <c r="F25" s="293"/>
      <c r="G25" s="293"/>
      <c r="H25" s="293"/>
      <c r="I25" s="294"/>
      <c r="J25" s="320"/>
      <c r="K25" s="321"/>
      <c r="L25" s="321"/>
      <c r="M25" s="321"/>
      <c r="N25" s="321"/>
      <c r="O25" s="322"/>
      <c r="P25" s="320"/>
      <c r="Q25" s="321"/>
      <c r="R25" s="321"/>
      <c r="S25" s="321"/>
      <c r="T25" s="321"/>
      <c r="U25" s="322"/>
      <c r="V25" s="320"/>
      <c r="W25" s="321"/>
      <c r="X25" s="321"/>
      <c r="Y25" s="321"/>
      <c r="Z25" s="321"/>
      <c r="AA25" s="322"/>
      <c r="AB25" s="303"/>
      <c r="AC25" s="300"/>
      <c r="AD25" s="298"/>
      <c r="AE25" s="298"/>
      <c r="AF25" s="298"/>
      <c r="AG25" s="299"/>
      <c r="AH25" s="311"/>
      <c r="AI25" s="312"/>
      <c r="AJ25" s="312"/>
      <c r="AK25" s="312"/>
      <c r="AL25" s="312"/>
      <c r="AM25" s="313"/>
      <c r="AN25" s="84"/>
      <c r="AO25" s="274"/>
      <c r="AP25" s="275"/>
      <c r="AQ25" s="275"/>
      <c r="AR25" s="275"/>
      <c r="AS25" s="275"/>
      <c r="AT25" s="276"/>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251"/>
      <c r="C26" s="251"/>
      <c r="D26" s="252"/>
      <c r="E26" s="292"/>
      <c r="F26" s="293"/>
      <c r="G26" s="293"/>
      <c r="H26" s="293"/>
      <c r="I26" s="294"/>
      <c r="J26" s="320" t="str">
        <f ca="1">IF(AND('Mapa final'!$H$46="Media",'Mapa final'!$L$46="Leve"),CONCATENATE("R",'Mapa final'!$A$46),"")</f>
        <v/>
      </c>
      <c r="K26" s="321"/>
      <c r="L26" s="321" t="str">
        <f ca="1">IF(AND('Mapa final'!$H$52="Media",'Mapa final'!$L$52="Leve"),CONCATENATE("R",'Mapa final'!$A$52),"")</f>
        <v/>
      </c>
      <c r="M26" s="321"/>
      <c r="N26" s="321" t="str">
        <f ca="1">IF(AND('Mapa final'!$H$58="Media",'Mapa final'!$L$58="Leve"),CONCATENATE("R",'Mapa final'!$A$58),"")</f>
        <v/>
      </c>
      <c r="O26" s="322"/>
      <c r="P26" s="320" t="str">
        <f ca="1">IF(AND('Mapa final'!$H$46="Media",'Mapa final'!$L$46="Menor"),CONCATENATE("R",'Mapa final'!$A$46),"")</f>
        <v/>
      </c>
      <c r="Q26" s="321"/>
      <c r="R26" s="321" t="str">
        <f ca="1">IF(AND('Mapa final'!$H$52="Media",'Mapa final'!$L$52="Menor"),CONCATENATE("R",'Mapa final'!$A$52),"")</f>
        <v/>
      </c>
      <c r="S26" s="321"/>
      <c r="T26" s="321" t="str">
        <f ca="1">IF(AND('Mapa final'!$H$58="Media",'Mapa final'!$L$58="Menor"),CONCATENATE("R",'Mapa final'!$A$58),"")</f>
        <v/>
      </c>
      <c r="U26" s="322"/>
      <c r="V26" s="320" t="str">
        <f ca="1">IF(AND('Mapa final'!$H$46="Media",'Mapa final'!$L$46="Moderado"),CONCATENATE("R",'Mapa final'!$A$46),"")</f>
        <v/>
      </c>
      <c r="W26" s="321"/>
      <c r="X26" s="321" t="str">
        <f ca="1">IF(AND('Mapa final'!$H$52="Media",'Mapa final'!$L$52="Moderado"),CONCATENATE("R",'Mapa final'!$A$52),"")</f>
        <v/>
      </c>
      <c r="Y26" s="321"/>
      <c r="Z26" s="321" t="str">
        <f ca="1">IF(AND('Mapa final'!$H$58="Media",'Mapa final'!$L$58="Moderado"),CONCATENATE("R",'Mapa final'!$A$58),"")</f>
        <v/>
      </c>
      <c r="AA26" s="322"/>
      <c r="AB26" s="303" t="str">
        <f ca="1">IF(AND('Mapa final'!$H$46="Media",'Mapa final'!$L$46="Mayor"),CONCATENATE("R",'Mapa final'!$A$46),"")</f>
        <v/>
      </c>
      <c r="AC26" s="300"/>
      <c r="AD26" s="298" t="str">
        <f ca="1">IF(AND('Mapa final'!$H$52="Media",'Mapa final'!$L$52="Mayor"),CONCATENATE("R",'Mapa final'!$A$52),"")</f>
        <v/>
      </c>
      <c r="AE26" s="298"/>
      <c r="AF26" s="298" t="str">
        <f ca="1">IF(AND('Mapa final'!$H$58="Media",'Mapa final'!$L$58="Mayor"),CONCATENATE("R",'Mapa final'!$A$58),"")</f>
        <v/>
      </c>
      <c r="AG26" s="299"/>
      <c r="AH26" s="311" t="str">
        <f ca="1">IF(AND('Mapa final'!$H$46="Media",'Mapa final'!$L$46="Catastrófico"),CONCATENATE("R",'Mapa final'!$A$46),"")</f>
        <v/>
      </c>
      <c r="AI26" s="312"/>
      <c r="AJ26" s="312" t="str">
        <f ca="1">IF(AND('Mapa final'!$H$52="Media",'Mapa final'!$L$52="Catastrófico"),CONCATENATE("R",'Mapa final'!$A$52),"")</f>
        <v/>
      </c>
      <c r="AK26" s="312"/>
      <c r="AL26" s="312" t="str">
        <f ca="1">IF(AND('Mapa final'!$H$58="Media",'Mapa final'!$L$58="Catastrófico"),CONCATENATE("R",'Mapa final'!$A$58),"")</f>
        <v/>
      </c>
      <c r="AM26" s="313"/>
      <c r="AN26" s="84"/>
      <c r="AO26" s="274"/>
      <c r="AP26" s="275"/>
      <c r="AQ26" s="275"/>
      <c r="AR26" s="275"/>
      <c r="AS26" s="275"/>
      <c r="AT26" s="276"/>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251"/>
      <c r="C27" s="251"/>
      <c r="D27" s="252"/>
      <c r="E27" s="292"/>
      <c r="F27" s="293"/>
      <c r="G27" s="293"/>
      <c r="H27" s="293"/>
      <c r="I27" s="294"/>
      <c r="J27" s="320"/>
      <c r="K27" s="321"/>
      <c r="L27" s="321"/>
      <c r="M27" s="321"/>
      <c r="N27" s="321"/>
      <c r="O27" s="322"/>
      <c r="P27" s="320"/>
      <c r="Q27" s="321"/>
      <c r="R27" s="321"/>
      <c r="S27" s="321"/>
      <c r="T27" s="321"/>
      <c r="U27" s="322"/>
      <c r="V27" s="320"/>
      <c r="W27" s="321"/>
      <c r="X27" s="321"/>
      <c r="Y27" s="321"/>
      <c r="Z27" s="321"/>
      <c r="AA27" s="322"/>
      <c r="AB27" s="303"/>
      <c r="AC27" s="300"/>
      <c r="AD27" s="298"/>
      <c r="AE27" s="298"/>
      <c r="AF27" s="298"/>
      <c r="AG27" s="299"/>
      <c r="AH27" s="311"/>
      <c r="AI27" s="312"/>
      <c r="AJ27" s="312"/>
      <c r="AK27" s="312"/>
      <c r="AL27" s="312"/>
      <c r="AM27" s="313"/>
      <c r="AN27" s="84"/>
      <c r="AO27" s="274"/>
      <c r="AP27" s="275"/>
      <c r="AQ27" s="275"/>
      <c r="AR27" s="275"/>
      <c r="AS27" s="275"/>
      <c r="AT27" s="276"/>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251"/>
      <c r="C28" s="251"/>
      <c r="D28" s="252"/>
      <c r="E28" s="292"/>
      <c r="F28" s="293"/>
      <c r="G28" s="293"/>
      <c r="H28" s="293"/>
      <c r="I28" s="294"/>
      <c r="J28" s="320" t="str">
        <f ca="1">IF(AND('Mapa final'!$H$64="Media",'Mapa final'!$L$64="Leve"),CONCATENATE("R",'Mapa final'!$A$64),"")</f>
        <v/>
      </c>
      <c r="K28" s="321"/>
      <c r="L28" s="321" t="str">
        <f>IF(AND('Mapa final'!$H$70="Media",'Mapa final'!$L$70="Leve"),CONCATENATE("R",'Mapa final'!$A$70),"")</f>
        <v/>
      </c>
      <c r="M28" s="321"/>
      <c r="N28" s="321" t="str">
        <f>IF(AND('Mapa final'!$H$76="Media",'Mapa final'!$L$76="Leve"),CONCATENATE("R",'Mapa final'!$A$76),"")</f>
        <v/>
      </c>
      <c r="O28" s="322"/>
      <c r="P28" s="320" t="str">
        <f ca="1">IF(AND('Mapa final'!$H$64="Media",'Mapa final'!$L$64="Menor"),CONCATENATE("R",'Mapa final'!$A$64),"")</f>
        <v/>
      </c>
      <c r="Q28" s="321"/>
      <c r="R28" s="321" t="str">
        <f>IF(AND('Mapa final'!$H$70="Media",'Mapa final'!$L$70="Menor"),CONCATENATE("R",'Mapa final'!$A$70),"")</f>
        <v/>
      </c>
      <c r="S28" s="321"/>
      <c r="T28" s="321" t="str">
        <f>IF(AND('Mapa final'!$H$76="Media",'Mapa final'!$L$76="Menor"),CONCATENATE("R",'Mapa final'!$A$76),"")</f>
        <v/>
      </c>
      <c r="U28" s="322"/>
      <c r="V28" s="320" t="str">
        <f ca="1">IF(AND('Mapa final'!$H$64="Media",'Mapa final'!$L$64="Moderado"),CONCATENATE("R",'Mapa final'!$A$64),"")</f>
        <v/>
      </c>
      <c r="W28" s="321"/>
      <c r="X28" s="321" t="str">
        <f>IF(AND('Mapa final'!$H$70="Media",'Mapa final'!$L$70="Moderado"),CONCATENATE("R",'Mapa final'!$A$70),"")</f>
        <v/>
      </c>
      <c r="Y28" s="321"/>
      <c r="Z28" s="321" t="str">
        <f>IF(AND('Mapa final'!$H$76="Media",'Mapa final'!$L$76="Moderado"),CONCATENATE("R",'Mapa final'!$A$76),"")</f>
        <v/>
      </c>
      <c r="AA28" s="322"/>
      <c r="AB28" s="303" t="str">
        <f ca="1">IF(AND('Mapa final'!$H$64="Media",'Mapa final'!$L$64="Mayor"),CONCATENATE("R",'Mapa final'!$A$64),"")</f>
        <v/>
      </c>
      <c r="AC28" s="300"/>
      <c r="AD28" s="298" t="str">
        <f>IF(AND('Mapa final'!$H$70="Media",'Mapa final'!$L$70="Mayor"),CONCATENATE("R",'Mapa final'!$A$70),"")</f>
        <v/>
      </c>
      <c r="AE28" s="298"/>
      <c r="AF28" s="298" t="str">
        <f>IF(AND('Mapa final'!$H$76="Media",'Mapa final'!$L$76="Mayor"),CONCATENATE("R",'Mapa final'!$A$76),"")</f>
        <v/>
      </c>
      <c r="AG28" s="299"/>
      <c r="AH28" s="311" t="str">
        <f ca="1">IF(AND('Mapa final'!$H$64="Media",'Mapa final'!$L$64="Catastrófico"),CONCATENATE("R",'Mapa final'!$A$64),"")</f>
        <v/>
      </c>
      <c r="AI28" s="312"/>
      <c r="AJ28" s="312" t="str">
        <f>IF(AND('Mapa final'!$H$70="Media",'Mapa final'!$L$70="Catastrófico"),CONCATENATE("R",'Mapa final'!$A$70),"")</f>
        <v/>
      </c>
      <c r="AK28" s="312"/>
      <c r="AL28" s="312" t="str">
        <f>IF(AND('Mapa final'!$H$76="Media",'Mapa final'!$L$76="Catastrófico"),CONCATENATE("R",'Mapa final'!$A$76),"")</f>
        <v/>
      </c>
      <c r="AM28" s="313"/>
      <c r="AN28" s="84"/>
      <c r="AO28" s="274"/>
      <c r="AP28" s="275"/>
      <c r="AQ28" s="275"/>
      <c r="AR28" s="275"/>
      <c r="AS28" s="275"/>
      <c r="AT28" s="276"/>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251"/>
      <c r="C29" s="251"/>
      <c r="D29" s="252"/>
      <c r="E29" s="295"/>
      <c r="F29" s="296"/>
      <c r="G29" s="296"/>
      <c r="H29" s="296"/>
      <c r="I29" s="297"/>
      <c r="J29" s="320"/>
      <c r="K29" s="321"/>
      <c r="L29" s="321"/>
      <c r="M29" s="321"/>
      <c r="N29" s="321"/>
      <c r="O29" s="322"/>
      <c r="P29" s="323"/>
      <c r="Q29" s="324"/>
      <c r="R29" s="324"/>
      <c r="S29" s="324"/>
      <c r="T29" s="324"/>
      <c r="U29" s="325"/>
      <c r="V29" s="323"/>
      <c r="W29" s="324"/>
      <c r="X29" s="324"/>
      <c r="Y29" s="324"/>
      <c r="Z29" s="324"/>
      <c r="AA29" s="325"/>
      <c r="AB29" s="308"/>
      <c r="AC29" s="309"/>
      <c r="AD29" s="309"/>
      <c r="AE29" s="309"/>
      <c r="AF29" s="309"/>
      <c r="AG29" s="310"/>
      <c r="AH29" s="314"/>
      <c r="AI29" s="315"/>
      <c r="AJ29" s="315"/>
      <c r="AK29" s="315"/>
      <c r="AL29" s="315"/>
      <c r="AM29" s="316"/>
      <c r="AN29" s="84"/>
      <c r="AO29" s="277"/>
      <c r="AP29" s="278"/>
      <c r="AQ29" s="278"/>
      <c r="AR29" s="278"/>
      <c r="AS29" s="278"/>
      <c r="AT29" s="279"/>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251"/>
      <c r="C30" s="251"/>
      <c r="D30" s="252"/>
      <c r="E30" s="289" t="s">
        <v>114</v>
      </c>
      <c r="F30" s="290"/>
      <c r="G30" s="290"/>
      <c r="H30" s="290"/>
      <c r="I30" s="290"/>
      <c r="J30" s="335" t="str">
        <f ca="1">IF(AND('Mapa final'!$H$10="Baja",'Mapa final'!$L$10="Leve"),CONCATENATE("R",'Mapa final'!$A$10),"")</f>
        <v/>
      </c>
      <c r="K30" s="336"/>
      <c r="L30" s="336" t="str">
        <f ca="1">IF(AND('Mapa final'!$H$16="Baja",'Mapa final'!$L$16="Leve"),CONCATENATE("R",'Mapa final'!$A$16),"")</f>
        <v/>
      </c>
      <c r="M30" s="336"/>
      <c r="N30" s="336" t="str">
        <f ca="1">IF(AND('Mapa final'!$H$22="Baja",'Mapa final'!$L$22="Leve"),CONCATENATE("R",'Mapa final'!$A$22),"")</f>
        <v>R3</v>
      </c>
      <c r="O30" s="337"/>
      <c r="P30" s="327" t="str">
        <f ca="1">IF(AND('Mapa final'!$H$10="Baja",'Mapa final'!$L$10="Menor"),CONCATENATE("R",'Mapa final'!$A$10),"")</f>
        <v/>
      </c>
      <c r="Q30" s="327"/>
      <c r="R30" s="327" t="str">
        <f ca="1">IF(AND('Mapa final'!$H$16="Baja",'Mapa final'!$L$16="Menor"),CONCATENATE("R",'Mapa final'!$A$16),"")</f>
        <v/>
      </c>
      <c r="S30" s="327"/>
      <c r="T30" s="327" t="str">
        <f ca="1">IF(AND('Mapa final'!$H$22="Baja",'Mapa final'!$L$22="Menor"),CONCATENATE("R",'Mapa final'!$A$22),"")</f>
        <v/>
      </c>
      <c r="U30" s="328"/>
      <c r="V30" s="326" t="str">
        <f ca="1">IF(AND('Mapa final'!$H$10="Baja",'Mapa final'!$L$10="Moderado"),CONCATENATE("R",'Mapa final'!$A$10),"")</f>
        <v/>
      </c>
      <c r="W30" s="327"/>
      <c r="X30" s="327" t="str">
        <f ca="1">IF(AND('Mapa final'!$H$16="Baja",'Mapa final'!$L$16="Moderado"),CONCATENATE("R",'Mapa final'!$A$16),"")</f>
        <v/>
      </c>
      <c r="Y30" s="327"/>
      <c r="Z30" s="327" t="str">
        <f ca="1">IF(AND('Mapa final'!$H$22="Baja",'Mapa final'!$L$22="Moderado"),CONCATENATE("R",'Mapa final'!$A$22),"")</f>
        <v/>
      </c>
      <c r="AA30" s="328"/>
      <c r="AB30" s="301" t="str">
        <f ca="1">IF(AND('Mapa final'!$H$10="Baja",'Mapa final'!$L$10="Mayor"),CONCATENATE("R",'Mapa final'!$A$10),"")</f>
        <v/>
      </c>
      <c r="AC30" s="302"/>
      <c r="AD30" s="302" t="str">
        <f ca="1">IF(AND('Mapa final'!$H$16="Baja",'Mapa final'!$L$16="Mayor"),CONCATENATE("R",'Mapa final'!$A$16),"")</f>
        <v/>
      </c>
      <c r="AE30" s="302"/>
      <c r="AF30" s="302" t="str">
        <f ca="1">IF(AND('Mapa final'!$H$22="Baja",'Mapa final'!$L$22="Mayor"),CONCATENATE("R",'Mapa final'!$A$22),"")</f>
        <v/>
      </c>
      <c r="AG30" s="304"/>
      <c r="AH30" s="317" t="str">
        <f ca="1">IF(AND('Mapa final'!$H$10="Baja",'Mapa final'!$L$10="Catastrófico"),CONCATENATE("R",'Mapa final'!$A$10),"")</f>
        <v/>
      </c>
      <c r="AI30" s="318"/>
      <c r="AJ30" s="318" t="str">
        <f ca="1">IF(AND('Mapa final'!$H$16="Baja",'Mapa final'!$L$16="Catastrófico"),CONCATENATE("R",'Mapa final'!$A$16),"")</f>
        <v/>
      </c>
      <c r="AK30" s="318"/>
      <c r="AL30" s="318" t="str">
        <f ca="1">IF(AND('Mapa final'!$H$22="Baja",'Mapa final'!$L$22="Catastrófico"),CONCATENATE("R",'Mapa final'!$A$22),"")</f>
        <v/>
      </c>
      <c r="AM30" s="319"/>
      <c r="AN30" s="84"/>
      <c r="AO30" s="280" t="s">
        <v>82</v>
      </c>
      <c r="AP30" s="281"/>
      <c r="AQ30" s="281"/>
      <c r="AR30" s="281"/>
      <c r="AS30" s="281"/>
      <c r="AT30" s="282"/>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251"/>
      <c r="C31" s="251"/>
      <c r="D31" s="252"/>
      <c r="E31" s="292"/>
      <c r="F31" s="293"/>
      <c r="G31" s="293"/>
      <c r="H31" s="293"/>
      <c r="I31" s="306"/>
      <c r="J31" s="331"/>
      <c r="K31" s="329"/>
      <c r="L31" s="329"/>
      <c r="M31" s="329"/>
      <c r="N31" s="329"/>
      <c r="O31" s="330"/>
      <c r="P31" s="321"/>
      <c r="Q31" s="321"/>
      <c r="R31" s="321"/>
      <c r="S31" s="321"/>
      <c r="T31" s="321"/>
      <c r="U31" s="322"/>
      <c r="V31" s="320"/>
      <c r="W31" s="321"/>
      <c r="X31" s="321"/>
      <c r="Y31" s="321"/>
      <c r="Z31" s="321"/>
      <c r="AA31" s="322"/>
      <c r="AB31" s="303"/>
      <c r="AC31" s="300"/>
      <c r="AD31" s="300"/>
      <c r="AE31" s="300"/>
      <c r="AF31" s="300"/>
      <c r="AG31" s="299"/>
      <c r="AH31" s="311"/>
      <c r="AI31" s="312"/>
      <c r="AJ31" s="312"/>
      <c r="AK31" s="312"/>
      <c r="AL31" s="312"/>
      <c r="AM31" s="313"/>
      <c r="AN31" s="84"/>
      <c r="AO31" s="283"/>
      <c r="AP31" s="284"/>
      <c r="AQ31" s="284"/>
      <c r="AR31" s="284"/>
      <c r="AS31" s="284"/>
      <c r="AT31" s="285"/>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251"/>
      <c r="C32" s="251"/>
      <c r="D32" s="252"/>
      <c r="E32" s="292"/>
      <c r="F32" s="293"/>
      <c r="G32" s="293"/>
      <c r="H32" s="293"/>
      <c r="I32" s="306"/>
      <c r="J32" s="331" t="str">
        <f ca="1">IF(AND('Mapa final'!$H$28="Baja",'Mapa final'!$L$28="Leve"),CONCATENATE("R",'Mapa final'!$A$28),"")</f>
        <v/>
      </c>
      <c r="K32" s="329"/>
      <c r="L32" s="329" t="str">
        <f ca="1">IF(AND('Mapa final'!$H$34="Baja",'Mapa final'!$L$34="Leve"),CONCATENATE("R",'Mapa final'!$A$34),"")</f>
        <v/>
      </c>
      <c r="M32" s="329"/>
      <c r="N32" s="329" t="str">
        <f ca="1">IF(AND('Mapa final'!$H$40="Baja",'Mapa final'!$L$40="Leve"),CONCATENATE("R",'Mapa final'!$A$40),"")</f>
        <v/>
      </c>
      <c r="O32" s="330"/>
      <c r="P32" s="321" t="str">
        <f ca="1">IF(AND('Mapa final'!$H$28="Baja",'Mapa final'!$L$28="Menor"),CONCATENATE("R",'Mapa final'!$A$28),"")</f>
        <v/>
      </c>
      <c r="Q32" s="321"/>
      <c r="R32" s="321" t="str">
        <f ca="1">IF(AND('Mapa final'!$H$34="Baja",'Mapa final'!$L$34="Menor"),CONCATENATE("R",'Mapa final'!$A$34),"")</f>
        <v/>
      </c>
      <c r="S32" s="321"/>
      <c r="T32" s="321" t="str">
        <f ca="1">IF(AND('Mapa final'!$H$40="Baja",'Mapa final'!$L$40="Menor"),CONCATENATE("R",'Mapa final'!$A$40),"")</f>
        <v/>
      </c>
      <c r="U32" s="322"/>
      <c r="V32" s="320" t="str">
        <f ca="1">IF(AND('Mapa final'!$H$28="Baja",'Mapa final'!$L$28="Moderado"),CONCATENATE("R",'Mapa final'!$A$28),"")</f>
        <v/>
      </c>
      <c r="W32" s="321"/>
      <c r="X32" s="321" t="str">
        <f ca="1">IF(AND('Mapa final'!$H$34="Baja",'Mapa final'!$L$34="Moderado"),CONCATENATE("R",'Mapa final'!$A$34),"")</f>
        <v/>
      </c>
      <c r="Y32" s="321"/>
      <c r="Z32" s="321" t="str">
        <f ca="1">IF(AND('Mapa final'!$H$40="Baja",'Mapa final'!$L$40="Moderado"),CONCATENATE("R",'Mapa final'!$A$40),"")</f>
        <v/>
      </c>
      <c r="AA32" s="322"/>
      <c r="AB32" s="303" t="str">
        <f ca="1">IF(AND('Mapa final'!$H$28="Baja",'Mapa final'!$L$28="Mayor"),CONCATENATE("R",'Mapa final'!$A$28),"")</f>
        <v/>
      </c>
      <c r="AC32" s="300"/>
      <c r="AD32" s="298" t="str">
        <f ca="1">IF(AND('Mapa final'!$H$34="Baja",'Mapa final'!$L$34="Mayor"),CONCATENATE("R",'Mapa final'!$A$34),"")</f>
        <v/>
      </c>
      <c r="AE32" s="298"/>
      <c r="AF32" s="298" t="str">
        <f ca="1">IF(AND('Mapa final'!$H$40="Baja",'Mapa final'!$L$40="Mayor"),CONCATENATE("R",'Mapa final'!$A$40),"")</f>
        <v/>
      </c>
      <c r="AG32" s="299"/>
      <c r="AH32" s="311" t="str">
        <f ca="1">IF(AND('Mapa final'!$H$28="Baja",'Mapa final'!$L$28="Catastrófico"),CONCATENATE("R",'Mapa final'!$A$28),"")</f>
        <v/>
      </c>
      <c r="AI32" s="312"/>
      <c r="AJ32" s="312" t="str">
        <f ca="1">IF(AND('Mapa final'!$H$34="Baja",'Mapa final'!$L$34="Catastrófico"),CONCATENATE("R",'Mapa final'!$A$34),"")</f>
        <v/>
      </c>
      <c r="AK32" s="312"/>
      <c r="AL32" s="312" t="str">
        <f ca="1">IF(AND('Mapa final'!$H$40="Baja",'Mapa final'!$L$40="Catastrófico"),CONCATENATE("R",'Mapa final'!$A$40),"")</f>
        <v/>
      </c>
      <c r="AM32" s="313"/>
      <c r="AN32" s="84"/>
      <c r="AO32" s="283"/>
      <c r="AP32" s="284"/>
      <c r="AQ32" s="284"/>
      <c r="AR32" s="284"/>
      <c r="AS32" s="284"/>
      <c r="AT32" s="285"/>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251"/>
      <c r="C33" s="251"/>
      <c r="D33" s="252"/>
      <c r="E33" s="292"/>
      <c r="F33" s="293"/>
      <c r="G33" s="293"/>
      <c r="H33" s="293"/>
      <c r="I33" s="306"/>
      <c r="J33" s="331"/>
      <c r="K33" s="329"/>
      <c r="L33" s="329"/>
      <c r="M33" s="329"/>
      <c r="N33" s="329"/>
      <c r="O33" s="330"/>
      <c r="P33" s="321"/>
      <c r="Q33" s="321"/>
      <c r="R33" s="321"/>
      <c r="S33" s="321"/>
      <c r="T33" s="321"/>
      <c r="U33" s="322"/>
      <c r="V33" s="320"/>
      <c r="W33" s="321"/>
      <c r="X33" s="321"/>
      <c r="Y33" s="321"/>
      <c r="Z33" s="321"/>
      <c r="AA33" s="322"/>
      <c r="AB33" s="303"/>
      <c r="AC33" s="300"/>
      <c r="AD33" s="298"/>
      <c r="AE33" s="298"/>
      <c r="AF33" s="298"/>
      <c r="AG33" s="299"/>
      <c r="AH33" s="311"/>
      <c r="AI33" s="312"/>
      <c r="AJ33" s="312"/>
      <c r="AK33" s="312"/>
      <c r="AL33" s="312"/>
      <c r="AM33" s="313"/>
      <c r="AN33" s="84"/>
      <c r="AO33" s="283"/>
      <c r="AP33" s="284"/>
      <c r="AQ33" s="284"/>
      <c r="AR33" s="284"/>
      <c r="AS33" s="284"/>
      <c r="AT33" s="285"/>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251"/>
      <c r="C34" s="251"/>
      <c r="D34" s="252"/>
      <c r="E34" s="292"/>
      <c r="F34" s="293"/>
      <c r="G34" s="293"/>
      <c r="H34" s="293"/>
      <c r="I34" s="306"/>
      <c r="J34" s="331" t="str">
        <f ca="1">IF(AND('Mapa final'!$H$46="Baja",'Mapa final'!$L$46="Leve"),CONCATENATE("R",'Mapa final'!$A$46),"")</f>
        <v/>
      </c>
      <c r="K34" s="329"/>
      <c r="L34" s="329" t="str">
        <f ca="1">IF(AND('Mapa final'!$H$52="Baja",'Mapa final'!$L$52="Leve"),CONCATENATE("R",'Mapa final'!$A$52),"")</f>
        <v/>
      </c>
      <c r="M34" s="329"/>
      <c r="N34" s="329" t="str">
        <f ca="1">IF(AND('Mapa final'!$H$58="Baja",'Mapa final'!$L$58="Leve"),CONCATENATE("R",'Mapa final'!$A$58),"")</f>
        <v/>
      </c>
      <c r="O34" s="330"/>
      <c r="P34" s="321" t="str">
        <f ca="1">IF(AND('Mapa final'!$H$46="Baja",'Mapa final'!$L$46="Menor"),CONCATENATE("R",'Mapa final'!$A$46),"")</f>
        <v/>
      </c>
      <c r="Q34" s="321"/>
      <c r="R34" s="321" t="str">
        <f ca="1">IF(AND('Mapa final'!$H$52="Baja",'Mapa final'!$L$52="Menor"),CONCATENATE("R",'Mapa final'!$A$52),"")</f>
        <v/>
      </c>
      <c r="S34" s="321"/>
      <c r="T34" s="321" t="str">
        <f ca="1">IF(AND('Mapa final'!$H$58="Baja",'Mapa final'!$L$58="Menor"),CONCATENATE("R",'Mapa final'!$A$58),"")</f>
        <v/>
      </c>
      <c r="U34" s="322"/>
      <c r="V34" s="320" t="str">
        <f ca="1">IF(AND('Mapa final'!$H$46="Baja",'Mapa final'!$L$46="Moderado"),CONCATENATE("R",'Mapa final'!$A$46),"")</f>
        <v/>
      </c>
      <c r="W34" s="321"/>
      <c r="X34" s="321" t="str">
        <f ca="1">IF(AND('Mapa final'!$H$52="Baja",'Mapa final'!$L$52="Moderado"),CONCATENATE("R",'Mapa final'!$A$52),"")</f>
        <v/>
      </c>
      <c r="Y34" s="321"/>
      <c r="Z34" s="321" t="str">
        <f ca="1">IF(AND('Mapa final'!$H$58="Baja",'Mapa final'!$L$58="Moderado"),CONCATENATE("R",'Mapa final'!$A$58),"")</f>
        <v/>
      </c>
      <c r="AA34" s="322"/>
      <c r="AB34" s="303" t="str">
        <f ca="1">IF(AND('Mapa final'!$H$46="Baja",'Mapa final'!$L$46="Mayor"),CONCATENATE("R",'Mapa final'!$A$46),"")</f>
        <v/>
      </c>
      <c r="AC34" s="300"/>
      <c r="AD34" s="298" t="str">
        <f ca="1">IF(AND('Mapa final'!$H$52="Baja",'Mapa final'!$L$52="Mayor"),CONCATENATE("R",'Mapa final'!$A$52),"")</f>
        <v/>
      </c>
      <c r="AE34" s="298"/>
      <c r="AF34" s="298" t="str">
        <f ca="1">IF(AND('Mapa final'!$H$58="Baja",'Mapa final'!$L$58="Mayor"),CONCATENATE("R",'Mapa final'!$A$58),"")</f>
        <v/>
      </c>
      <c r="AG34" s="299"/>
      <c r="AH34" s="311" t="str">
        <f ca="1">IF(AND('Mapa final'!$H$46="Baja",'Mapa final'!$L$46="Catastrófico"),CONCATENATE("R",'Mapa final'!$A$46),"")</f>
        <v/>
      </c>
      <c r="AI34" s="312"/>
      <c r="AJ34" s="312" t="str">
        <f ca="1">IF(AND('Mapa final'!$H$52="Baja",'Mapa final'!$L$52="Catastrófico"),CONCATENATE("R",'Mapa final'!$A$52),"")</f>
        <v/>
      </c>
      <c r="AK34" s="312"/>
      <c r="AL34" s="312" t="str">
        <f ca="1">IF(AND('Mapa final'!$H$58="Baja",'Mapa final'!$L$58="Catastrófico"),CONCATENATE("R",'Mapa final'!$A$58),"")</f>
        <v/>
      </c>
      <c r="AM34" s="313"/>
      <c r="AN34" s="84"/>
      <c r="AO34" s="283"/>
      <c r="AP34" s="284"/>
      <c r="AQ34" s="284"/>
      <c r="AR34" s="284"/>
      <c r="AS34" s="284"/>
      <c r="AT34" s="285"/>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251"/>
      <c r="C35" s="251"/>
      <c r="D35" s="252"/>
      <c r="E35" s="292"/>
      <c r="F35" s="293"/>
      <c r="G35" s="293"/>
      <c r="H35" s="293"/>
      <c r="I35" s="306"/>
      <c r="J35" s="331"/>
      <c r="K35" s="329"/>
      <c r="L35" s="329"/>
      <c r="M35" s="329"/>
      <c r="N35" s="329"/>
      <c r="O35" s="330"/>
      <c r="P35" s="321"/>
      <c r="Q35" s="321"/>
      <c r="R35" s="321"/>
      <c r="S35" s="321"/>
      <c r="T35" s="321"/>
      <c r="U35" s="322"/>
      <c r="V35" s="320"/>
      <c r="W35" s="321"/>
      <c r="X35" s="321"/>
      <c r="Y35" s="321"/>
      <c r="Z35" s="321"/>
      <c r="AA35" s="322"/>
      <c r="AB35" s="303"/>
      <c r="AC35" s="300"/>
      <c r="AD35" s="298"/>
      <c r="AE35" s="298"/>
      <c r="AF35" s="298"/>
      <c r="AG35" s="299"/>
      <c r="AH35" s="311"/>
      <c r="AI35" s="312"/>
      <c r="AJ35" s="312"/>
      <c r="AK35" s="312"/>
      <c r="AL35" s="312"/>
      <c r="AM35" s="313"/>
      <c r="AN35" s="84"/>
      <c r="AO35" s="283"/>
      <c r="AP35" s="284"/>
      <c r="AQ35" s="284"/>
      <c r="AR35" s="284"/>
      <c r="AS35" s="284"/>
      <c r="AT35" s="285"/>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251"/>
      <c r="C36" s="251"/>
      <c r="D36" s="252"/>
      <c r="E36" s="292"/>
      <c r="F36" s="293"/>
      <c r="G36" s="293"/>
      <c r="H36" s="293"/>
      <c r="I36" s="306"/>
      <c r="J36" s="331" t="str">
        <f ca="1">IF(AND('Mapa final'!$H$64="Baja",'Mapa final'!$L$64="Leve"),CONCATENATE("R",'Mapa final'!$A$64),"")</f>
        <v/>
      </c>
      <c r="K36" s="329"/>
      <c r="L36" s="329" t="str">
        <f>IF(AND('Mapa final'!$H$70="Baja",'Mapa final'!$L$70="Leve"),CONCATENATE("R",'Mapa final'!$A$70),"")</f>
        <v/>
      </c>
      <c r="M36" s="329"/>
      <c r="N36" s="329" t="str">
        <f>IF(AND('Mapa final'!$H$76="Baja",'Mapa final'!$L$76="Leve"),CONCATENATE("R",'Mapa final'!$A$76),"")</f>
        <v/>
      </c>
      <c r="O36" s="330"/>
      <c r="P36" s="321" t="str">
        <f ca="1">IF(AND('Mapa final'!$H$64="Baja",'Mapa final'!$L$64="Menor"),CONCATENATE("R",'Mapa final'!$A$64),"")</f>
        <v/>
      </c>
      <c r="Q36" s="321"/>
      <c r="R36" s="321" t="str">
        <f>IF(AND('Mapa final'!$H$70="Baja",'Mapa final'!$L$70="Menor"),CONCATENATE("R",'Mapa final'!$A$70),"")</f>
        <v/>
      </c>
      <c r="S36" s="321"/>
      <c r="T36" s="321" t="str">
        <f>IF(AND('Mapa final'!$H$76="Baja",'Mapa final'!$L$76="Menor"),CONCATENATE("R",'Mapa final'!$A$76),"")</f>
        <v/>
      </c>
      <c r="U36" s="322"/>
      <c r="V36" s="320" t="str">
        <f ca="1">IF(AND('Mapa final'!$H$64="Baja",'Mapa final'!$L$64="Moderado"),CONCATENATE("R",'Mapa final'!$A$64),"")</f>
        <v/>
      </c>
      <c r="W36" s="321"/>
      <c r="X36" s="321" t="str">
        <f>IF(AND('Mapa final'!$H$70="Baja",'Mapa final'!$L$70="Moderado"),CONCATENATE("R",'Mapa final'!$A$70),"")</f>
        <v/>
      </c>
      <c r="Y36" s="321"/>
      <c r="Z36" s="321" t="str">
        <f>IF(AND('Mapa final'!$H$76="Baja",'Mapa final'!$L$76="Moderado"),CONCATENATE("R",'Mapa final'!$A$76),"")</f>
        <v/>
      </c>
      <c r="AA36" s="322"/>
      <c r="AB36" s="303" t="str">
        <f ca="1">IF(AND('Mapa final'!$H$64="Baja",'Mapa final'!$L$64="Mayor"),CONCATENATE("R",'Mapa final'!$A$64),"")</f>
        <v/>
      </c>
      <c r="AC36" s="300"/>
      <c r="AD36" s="298" t="str">
        <f>IF(AND('Mapa final'!$H$70="Baja",'Mapa final'!$L$70="Mayor"),CONCATENATE("R",'Mapa final'!$A$70),"")</f>
        <v/>
      </c>
      <c r="AE36" s="298"/>
      <c r="AF36" s="298" t="str">
        <f>IF(AND('Mapa final'!$H$76="Baja",'Mapa final'!$L$76="Mayor"),CONCATENATE("R",'Mapa final'!$A$76),"")</f>
        <v/>
      </c>
      <c r="AG36" s="299"/>
      <c r="AH36" s="311" t="str">
        <f ca="1">IF(AND('Mapa final'!$H$64="Baja",'Mapa final'!$L$64="Catastrófico"),CONCATENATE("R",'Mapa final'!$A$64),"")</f>
        <v/>
      </c>
      <c r="AI36" s="312"/>
      <c r="AJ36" s="312" t="str">
        <f>IF(AND('Mapa final'!$H$70="Baja",'Mapa final'!$L$70="Catastrófico"),CONCATENATE("R",'Mapa final'!$A$70),"")</f>
        <v/>
      </c>
      <c r="AK36" s="312"/>
      <c r="AL36" s="312" t="str">
        <f>IF(AND('Mapa final'!$H$76="Baja",'Mapa final'!$L$76="Catastrófico"),CONCATENATE("R",'Mapa final'!$A$76),"")</f>
        <v/>
      </c>
      <c r="AM36" s="313"/>
      <c r="AN36" s="84"/>
      <c r="AO36" s="283"/>
      <c r="AP36" s="284"/>
      <c r="AQ36" s="284"/>
      <c r="AR36" s="284"/>
      <c r="AS36" s="284"/>
      <c r="AT36" s="285"/>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251"/>
      <c r="C37" s="251"/>
      <c r="D37" s="252"/>
      <c r="E37" s="295"/>
      <c r="F37" s="296"/>
      <c r="G37" s="296"/>
      <c r="H37" s="296"/>
      <c r="I37" s="296"/>
      <c r="J37" s="332"/>
      <c r="K37" s="333"/>
      <c r="L37" s="333"/>
      <c r="M37" s="333"/>
      <c r="N37" s="333"/>
      <c r="O37" s="334"/>
      <c r="P37" s="324"/>
      <c r="Q37" s="324"/>
      <c r="R37" s="324"/>
      <c r="S37" s="324"/>
      <c r="T37" s="324"/>
      <c r="U37" s="325"/>
      <c r="V37" s="323"/>
      <c r="W37" s="324"/>
      <c r="X37" s="324"/>
      <c r="Y37" s="324"/>
      <c r="Z37" s="324"/>
      <c r="AA37" s="325"/>
      <c r="AB37" s="308"/>
      <c r="AC37" s="309"/>
      <c r="AD37" s="309"/>
      <c r="AE37" s="309"/>
      <c r="AF37" s="309"/>
      <c r="AG37" s="310"/>
      <c r="AH37" s="314"/>
      <c r="AI37" s="315"/>
      <c r="AJ37" s="315"/>
      <c r="AK37" s="315"/>
      <c r="AL37" s="315"/>
      <c r="AM37" s="316"/>
      <c r="AN37" s="84"/>
      <c r="AO37" s="286"/>
      <c r="AP37" s="287"/>
      <c r="AQ37" s="287"/>
      <c r="AR37" s="287"/>
      <c r="AS37" s="287"/>
      <c r="AT37" s="288"/>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251"/>
      <c r="C38" s="251"/>
      <c r="D38" s="252"/>
      <c r="E38" s="289" t="s">
        <v>113</v>
      </c>
      <c r="F38" s="290"/>
      <c r="G38" s="290"/>
      <c r="H38" s="290"/>
      <c r="I38" s="291"/>
      <c r="J38" s="335" t="str">
        <f ca="1">IF(AND('Mapa final'!$H$10="Muy Baja",'Mapa final'!$L$10="Leve"),CONCATENATE("R",'Mapa final'!$A$10),"")</f>
        <v/>
      </c>
      <c r="K38" s="336"/>
      <c r="L38" s="336" t="str">
        <f ca="1">IF(AND('Mapa final'!$H$16="Muy Baja",'Mapa final'!$L$16="Leve"),CONCATENATE("R",'Mapa final'!$A$16),"")</f>
        <v/>
      </c>
      <c r="M38" s="336"/>
      <c r="N38" s="336" t="str">
        <f ca="1">IF(AND('Mapa final'!$H$22="Muy Baja",'Mapa final'!$L$22="Leve"),CONCATENATE("R",'Mapa final'!$A$22),"")</f>
        <v/>
      </c>
      <c r="O38" s="337"/>
      <c r="P38" s="335" t="str">
        <f ca="1">IF(AND('Mapa final'!$H$10="Muy Baja",'Mapa final'!$L$10="Menor"),CONCATENATE("R",'Mapa final'!$A$10),"")</f>
        <v/>
      </c>
      <c r="Q38" s="336"/>
      <c r="R38" s="336" t="str">
        <f ca="1">IF(AND('Mapa final'!$H$16="Muy Baja",'Mapa final'!$L$16="Menor"),CONCATENATE("R",'Mapa final'!$A$16),"")</f>
        <v/>
      </c>
      <c r="S38" s="336"/>
      <c r="T38" s="336" t="str">
        <f ca="1">IF(AND('Mapa final'!$H$22="Muy Baja",'Mapa final'!$L$22="Menor"),CONCATENATE("R",'Mapa final'!$A$22),"")</f>
        <v/>
      </c>
      <c r="U38" s="337"/>
      <c r="V38" s="326" t="str">
        <f ca="1">IF(AND('Mapa final'!$H$10="Muy Baja",'Mapa final'!$L$10="Moderado"),CONCATENATE("R",'Mapa final'!$A$10),"")</f>
        <v/>
      </c>
      <c r="W38" s="327"/>
      <c r="X38" s="327" t="str">
        <f ca="1">IF(AND('Mapa final'!$H$16="Muy Baja",'Mapa final'!$L$16="Moderado"),CONCATENATE("R",'Mapa final'!$A$16),"")</f>
        <v/>
      </c>
      <c r="Y38" s="327"/>
      <c r="Z38" s="327" t="str">
        <f ca="1">IF(AND('Mapa final'!$H$22="Muy Baja",'Mapa final'!$L$22="Moderado"),CONCATENATE("R",'Mapa final'!$A$22),"")</f>
        <v/>
      </c>
      <c r="AA38" s="328"/>
      <c r="AB38" s="301" t="str">
        <f ca="1">IF(AND('Mapa final'!$H$10="Muy Baja",'Mapa final'!$L$10="Mayor"),CONCATENATE("R",'Mapa final'!$A$10),"")</f>
        <v/>
      </c>
      <c r="AC38" s="302"/>
      <c r="AD38" s="302" t="str">
        <f ca="1">IF(AND('Mapa final'!$H$16="Muy Baja",'Mapa final'!$L$16="Mayor"),CONCATENATE("R",'Mapa final'!$A$16),"")</f>
        <v/>
      </c>
      <c r="AE38" s="302"/>
      <c r="AF38" s="302" t="str">
        <f ca="1">IF(AND('Mapa final'!$H$22="Muy Baja",'Mapa final'!$L$22="Mayor"),CONCATENATE("R",'Mapa final'!$A$22),"")</f>
        <v/>
      </c>
      <c r="AG38" s="304"/>
      <c r="AH38" s="317" t="str">
        <f ca="1">IF(AND('Mapa final'!$H$10="Muy Baja",'Mapa final'!$L$10="Catastrófico"),CONCATENATE("R",'Mapa final'!$A$10),"")</f>
        <v/>
      </c>
      <c r="AI38" s="318"/>
      <c r="AJ38" s="318" t="str">
        <f ca="1">IF(AND('Mapa final'!$H$16="Muy Baja",'Mapa final'!$L$16="Catastrófico"),CONCATENATE("R",'Mapa final'!$A$16),"")</f>
        <v/>
      </c>
      <c r="AK38" s="318"/>
      <c r="AL38" s="318" t="str">
        <f ca="1">IF(AND('Mapa final'!$H$22="Muy Baja",'Mapa final'!$L$22="Catastrófico"),CONCATENATE("R",'Mapa final'!$A$22),"")</f>
        <v/>
      </c>
      <c r="AM38" s="319"/>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251"/>
      <c r="C39" s="251"/>
      <c r="D39" s="252"/>
      <c r="E39" s="292"/>
      <c r="F39" s="293"/>
      <c r="G39" s="293"/>
      <c r="H39" s="293"/>
      <c r="I39" s="294"/>
      <c r="J39" s="331"/>
      <c r="K39" s="329"/>
      <c r="L39" s="329"/>
      <c r="M39" s="329"/>
      <c r="N39" s="329"/>
      <c r="O39" s="330"/>
      <c r="P39" s="331"/>
      <c r="Q39" s="329"/>
      <c r="R39" s="329"/>
      <c r="S39" s="329"/>
      <c r="T39" s="329"/>
      <c r="U39" s="330"/>
      <c r="V39" s="320"/>
      <c r="W39" s="321"/>
      <c r="X39" s="321"/>
      <c r="Y39" s="321"/>
      <c r="Z39" s="321"/>
      <c r="AA39" s="322"/>
      <c r="AB39" s="303"/>
      <c r="AC39" s="300"/>
      <c r="AD39" s="300"/>
      <c r="AE39" s="300"/>
      <c r="AF39" s="300"/>
      <c r="AG39" s="299"/>
      <c r="AH39" s="311"/>
      <c r="AI39" s="312"/>
      <c r="AJ39" s="312"/>
      <c r="AK39" s="312"/>
      <c r="AL39" s="312"/>
      <c r="AM39" s="313"/>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251"/>
      <c r="C40" s="251"/>
      <c r="D40" s="252"/>
      <c r="E40" s="292"/>
      <c r="F40" s="293"/>
      <c r="G40" s="293"/>
      <c r="H40" s="293"/>
      <c r="I40" s="294"/>
      <c r="J40" s="331" t="str">
        <f ca="1">IF(AND('Mapa final'!$H$28="Muy Baja",'Mapa final'!$L$28="Leve"),CONCATENATE("R",'Mapa final'!$A$28),"")</f>
        <v/>
      </c>
      <c r="K40" s="329"/>
      <c r="L40" s="329" t="str">
        <f ca="1">IF(AND('Mapa final'!$H$34="Muy Baja",'Mapa final'!$L$34="Leve"),CONCATENATE("R",'Mapa final'!$A$34),"")</f>
        <v/>
      </c>
      <c r="M40" s="329"/>
      <c r="N40" s="329" t="str">
        <f ca="1">IF(AND('Mapa final'!$H$40="Muy Baja",'Mapa final'!$L$40="Leve"),CONCATENATE("R",'Mapa final'!$A$40),"")</f>
        <v/>
      </c>
      <c r="O40" s="330"/>
      <c r="P40" s="331" t="str">
        <f ca="1">IF(AND('Mapa final'!$H$28="Muy Baja",'Mapa final'!$L$28="Menor"),CONCATENATE("R",'Mapa final'!$A$28),"")</f>
        <v/>
      </c>
      <c r="Q40" s="329"/>
      <c r="R40" s="329" t="str">
        <f ca="1">IF(AND('Mapa final'!$H$34="Muy Baja",'Mapa final'!$L$34="Menor"),CONCATENATE("R",'Mapa final'!$A$34),"")</f>
        <v/>
      </c>
      <c r="S40" s="329"/>
      <c r="T40" s="329" t="str">
        <f ca="1">IF(AND('Mapa final'!$H$40="Muy Baja",'Mapa final'!$L$40="Menor"),CONCATENATE("R",'Mapa final'!$A$40),"")</f>
        <v/>
      </c>
      <c r="U40" s="330"/>
      <c r="V40" s="320" t="str">
        <f ca="1">IF(AND('Mapa final'!$H$28="Muy Baja",'Mapa final'!$L$28="Moderado"),CONCATENATE("R",'Mapa final'!$A$28),"")</f>
        <v/>
      </c>
      <c r="W40" s="321"/>
      <c r="X40" s="321" t="str">
        <f ca="1">IF(AND('Mapa final'!$H$34="Muy Baja",'Mapa final'!$L$34="Moderado"),CONCATENATE("R",'Mapa final'!$A$34),"")</f>
        <v/>
      </c>
      <c r="Y40" s="321"/>
      <c r="Z40" s="321" t="str">
        <f ca="1">IF(AND('Mapa final'!$H$40="Muy Baja",'Mapa final'!$L$40="Moderado"),CONCATENATE("R",'Mapa final'!$A$40),"")</f>
        <v/>
      </c>
      <c r="AA40" s="322"/>
      <c r="AB40" s="303" t="str">
        <f ca="1">IF(AND('Mapa final'!$H$28="Muy Baja",'Mapa final'!$L$28="Mayor"),CONCATENATE("R",'Mapa final'!$A$28),"")</f>
        <v/>
      </c>
      <c r="AC40" s="300"/>
      <c r="AD40" s="298" t="str">
        <f ca="1">IF(AND('Mapa final'!$H$34="Muy Baja",'Mapa final'!$L$34="Mayor"),CONCATENATE("R",'Mapa final'!$A$34),"")</f>
        <v/>
      </c>
      <c r="AE40" s="298"/>
      <c r="AF40" s="298" t="str">
        <f ca="1">IF(AND('Mapa final'!$H$40="Muy Baja",'Mapa final'!$L$40="Mayor"),CONCATENATE("R",'Mapa final'!$A$40),"")</f>
        <v/>
      </c>
      <c r="AG40" s="299"/>
      <c r="AH40" s="311" t="str">
        <f ca="1">IF(AND('Mapa final'!$H$28="Muy Baja",'Mapa final'!$L$28="Catastrófico"),CONCATENATE("R",'Mapa final'!$A$28),"")</f>
        <v/>
      </c>
      <c r="AI40" s="312"/>
      <c r="AJ40" s="312" t="str">
        <f ca="1">IF(AND('Mapa final'!$H$34="Muy Baja",'Mapa final'!$L$34="Catastrófico"),CONCATENATE("R",'Mapa final'!$A$34),"")</f>
        <v/>
      </c>
      <c r="AK40" s="312"/>
      <c r="AL40" s="312" t="str">
        <f ca="1">IF(AND('Mapa final'!$H$40="Muy Baja",'Mapa final'!$L$40="Catastrófico"),CONCATENATE("R",'Mapa final'!$A$40),"")</f>
        <v/>
      </c>
      <c r="AM40" s="313"/>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251"/>
      <c r="C41" s="251"/>
      <c r="D41" s="252"/>
      <c r="E41" s="292"/>
      <c r="F41" s="293"/>
      <c r="G41" s="293"/>
      <c r="H41" s="293"/>
      <c r="I41" s="294"/>
      <c r="J41" s="331"/>
      <c r="K41" s="329"/>
      <c r="L41" s="329"/>
      <c r="M41" s="329"/>
      <c r="N41" s="329"/>
      <c r="O41" s="330"/>
      <c r="P41" s="331"/>
      <c r="Q41" s="329"/>
      <c r="R41" s="329"/>
      <c r="S41" s="329"/>
      <c r="T41" s="329"/>
      <c r="U41" s="330"/>
      <c r="V41" s="320"/>
      <c r="W41" s="321"/>
      <c r="X41" s="321"/>
      <c r="Y41" s="321"/>
      <c r="Z41" s="321"/>
      <c r="AA41" s="322"/>
      <c r="AB41" s="303"/>
      <c r="AC41" s="300"/>
      <c r="AD41" s="298"/>
      <c r="AE41" s="298"/>
      <c r="AF41" s="298"/>
      <c r="AG41" s="299"/>
      <c r="AH41" s="311"/>
      <c r="AI41" s="312"/>
      <c r="AJ41" s="312"/>
      <c r="AK41" s="312"/>
      <c r="AL41" s="312"/>
      <c r="AM41" s="313"/>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251"/>
      <c r="C42" s="251"/>
      <c r="D42" s="252"/>
      <c r="E42" s="292"/>
      <c r="F42" s="293"/>
      <c r="G42" s="293"/>
      <c r="H42" s="293"/>
      <c r="I42" s="294"/>
      <c r="J42" s="331" t="str">
        <f ca="1">IF(AND('Mapa final'!$H$46="Muy Baja",'Mapa final'!$L$46="Leve"),CONCATENATE("R",'Mapa final'!$A$46),"")</f>
        <v/>
      </c>
      <c r="K42" s="329"/>
      <c r="L42" s="329" t="str">
        <f ca="1">IF(AND('Mapa final'!$H$52="Muy Baja",'Mapa final'!$L$52="Leve"),CONCATENATE("R",'Mapa final'!$A$52),"")</f>
        <v/>
      </c>
      <c r="M42" s="329"/>
      <c r="N42" s="329" t="str">
        <f ca="1">IF(AND('Mapa final'!$H$58="Muy Baja",'Mapa final'!$L$58="Leve"),CONCATENATE("R",'Mapa final'!$A$58),"")</f>
        <v/>
      </c>
      <c r="O42" s="330"/>
      <c r="P42" s="331" t="str">
        <f ca="1">IF(AND('Mapa final'!$H$46="Muy Baja",'Mapa final'!$L$46="Menor"),CONCATENATE("R",'Mapa final'!$A$46),"")</f>
        <v/>
      </c>
      <c r="Q42" s="329"/>
      <c r="R42" s="329" t="str">
        <f ca="1">IF(AND('Mapa final'!$H$52="Muy Baja",'Mapa final'!$L$52="Menor"),CONCATENATE("R",'Mapa final'!$A$52),"")</f>
        <v/>
      </c>
      <c r="S42" s="329"/>
      <c r="T42" s="329" t="str">
        <f ca="1">IF(AND('Mapa final'!$H$58="Muy Baja",'Mapa final'!$L$58="Menor"),CONCATENATE("R",'Mapa final'!$A$58),"")</f>
        <v/>
      </c>
      <c r="U42" s="330"/>
      <c r="V42" s="320" t="str">
        <f ca="1">IF(AND('Mapa final'!$H$46="Muy Baja",'Mapa final'!$L$46="Moderado"),CONCATENATE("R",'Mapa final'!$A$46),"")</f>
        <v/>
      </c>
      <c r="W42" s="321"/>
      <c r="X42" s="321" t="str">
        <f ca="1">IF(AND('Mapa final'!$H$52="Muy Baja",'Mapa final'!$L$52="Moderado"),CONCATENATE("R",'Mapa final'!$A$52),"")</f>
        <v/>
      </c>
      <c r="Y42" s="321"/>
      <c r="Z42" s="321" t="str">
        <f ca="1">IF(AND('Mapa final'!$H$58="Muy Baja",'Mapa final'!$L$58="Moderado"),CONCATENATE("R",'Mapa final'!$A$58),"")</f>
        <v/>
      </c>
      <c r="AA42" s="322"/>
      <c r="AB42" s="303" t="str">
        <f ca="1">IF(AND('Mapa final'!$H$46="Muy Baja",'Mapa final'!$L$46="Mayor"),CONCATENATE("R",'Mapa final'!$A$46),"")</f>
        <v/>
      </c>
      <c r="AC42" s="300"/>
      <c r="AD42" s="298" t="str">
        <f ca="1">IF(AND('Mapa final'!$H$52="Muy Baja",'Mapa final'!$L$52="Mayor"),CONCATENATE("R",'Mapa final'!$A$52),"")</f>
        <v/>
      </c>
      <c r="AE42" s="298"/>
      <c r="AF42" s="298" t="str">
        <f ca="1">IF(AND('Mapa final'!$H$58="Muy Baja",'Mapa final'!$L$58="Mayor"),CONCATENATE("R",'Mapa final'!$A$58),"")</f>
        <v/>
      </c>
      <c r="AG42" s="299"/>
      <c r="AH42" s="311" t="str">
        <f ca="1">IF(AND('Mapa final'!$H$46="Muy Baja",'Mapa final'!$L$46="Catastrófico"),CONCATENATE("R",'Mapa final'!$A$46),"")</f>
        <v/>
      </c>
      <c r="AI42" s="312"/>
      <c r="AJ42" s="312" t="str">
        <f ca="1">IF(AND('Mapa final'!$H$52="Muy Baja",'Mapa final'!$L$52="Catastrófico"),CONCATENATE("R",'Mapa final'!$A$52),"")</f>
        <v/>
      </c>
      <c r="AK42" s="312"/>
      <c r="AL42" s="312" t="str">
        <f ca="1">IF(AND('Mapa final'!$H$58="Muy Baja",'Mapa final'!$L$58="Catastrófico"),CONCATENATE("R",'Mapa final'!$A$58),"")</f>
        <v/>
      </c>
      <c r="AM42" s="313"/>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251"/>
      <c r="C43" s="251"/>
      <c r="D43" s="252"/>
      <c r="E43" s="292"/>
      <c r="F43" s="293"/>
      <c r="G43" s="293"/>
      <c r="H43" s="293"/>
      <c r="I43" s="294"/>
      <c r="J43" s="331"/>
      <c r="K43" s="329"/>
      <c r="L43" s="329"/>
      <c r="M43" s="329"/>
      <c r="N43" s="329"/>
      <c r="O43" s="330"/>
      <c r="P43" s="331"/>
      <c r="Q43" s="329"/>
      <c r="R43" s="329"/>
      <c r="S43" s="329"/>
      <c r="T43" s="329"/>
      <c r="U43" s="330"/>
      <c r="V43" s="320"/>
      <c r="W43" s="321"/>
      <c r="X43" s="321"/>
      <c r="Y43" s="321"/>
      <c r="Z43" s="321"/>
      <c r="AA43" s="322"/>
      <c r="AB43" s="303"/>
      <c r="AC43" s="300"/>
      <c r="AD43" s="298"/>
      <c r="AE43" s="298"/>
      <c r="AF43" s="298"/>
      <c r="AG43" s="299"/>
      <c r="AH43" s="311"/>
      <c r="AI43" s="312"/>
      <c r="AJ43" s="312"/>
      <c r="AK43" s="312"/>
      <c r="AL43" s="312"/>
      <c r="AM43" s="313"/>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251"/>
      <c r="C44" s="251"/>
      <c r="D44" s="252"/>
      <c r="E44" s="292"/>
      <c r="F44" s="293"/>
      <c r="G44" s="293"/>
      <c r="H44" s="293"/>
      <c r="I44" s="294"/>
      <c r="J44" s="331" t="str">
        <f ca="1">IF(AND('Mapa final'!$H$64="Muy Baja",'Mapa final'!$L$64="Leve"),CONCATENATE("R",'Mapa final'!$A$64),"")</f>
        <v/>
      </c>
      <c r="K44" s="329"/>
      <c r="L44" s="329" t="str">
        <f>IF(AND('Mapa final'!$H$70="Muy Baja",'Mapa final'!$L$70="Leve"),CONCATENATE("R",'Mapa final'!$A$70),"")</f>
        <v/>
      </c>
      <c r="M44" s="329"/>
      <c r="N44" s="329" t="str">
        <f>IF(AND('Mapa final'!$H$76="Muy Baja",'Mapa final'!$L$76="Leve"),CONCATENATE("R",'Mapa final'!$A$76),"")</f>
        <v/>
      </c>
      <c r="O44" s="330"/>
      <c r="P44" s="331" t="str">
        <f ca="1">IF(AND('Mapa final'!$H$64="Muy Baja",'Mapa final'!$L$64="Menor"),CONCATENATE("R",'Mapa final'!$A$64),"")</f>
        <v/>
      </c>
      <c r="Q44" s="329"/>
      <c r="R44" s="329" t="str">
        <f>IF(AND('Mapa final'!$H$70="Muy Baja",'Mapa final'!$L$70="Menor"),CONCATENATE("R",'Mapa final'!$A$70),"")</f>
        <v/>
      </c>
      <c r="S44" s="329"/>
      <c r="T44" s="329" t="str">
        <f>IF(AND('Mapa final'!$H$76="Muy Baja",'Mapa final'!$L$76="Menor"),CONCATENATE("R",'Mapa final'!$A$76),"")</f>
        <v/>
      </c>
      <c r="U44" s="330"/>
      <c r="V44" s="320" t="str">
        <f ca="1">IF(AND('Mapa final'!$H$64="Muy Baja",'Mapa final'!$L$64="Moderado"),CONCATENATE("R",'Mapa final'!$A$64),"")</f>
        <v/>
      </c>
      <c r="W44" s="321"/>
      <c r="X44" s="321" t="str">
        <f>IF(AND('Mapa final'!$H$70="Muy Baja",'Mapa final'!$L$70="Moderado"),CONCATENATE("R",'Mapa final'!$A$70),"")</f>
        <v/>
      </c>
      <c r="Y44" s="321"/>
      <c r="Z44" s="321" t="str">
        <f>IF(AND('Mapa final'!$H$76="Muy Baja",'Mapa final'!$L$76="Moderado"),CONCATENATE("R",'Mapa final'!$A$76),"")</f>
        <v/>
      </c>
      <c r="AA44" s="322"/>
      <c r="AB44" s="303" t="str">
        <f ca="1">IF(AND('Mapa final'!$H$64="Muy Baja",'Mapa final'!$L$64="Mayor"),CONCATENATE("R",'Mapa final'!$A$64),"")</f>
        <v/>
      </c>
      <c r="AC44" s="300"/>
      <c r="AD44" s="298" t="str">
        <f>IF(AND('Mapa final'!$H$70="Muy Baja",'Mapa final'!$L$70="Mayor"),CONCATENATE("R",'Mapa final'!$A$70),"")</f>
        <v/>
      </c>
      <c r="AE44" s="298"/>
      <c r="AF44" s="298" t="str">
        <f>IF(AND('Mapa final'!$H$76="Muy Baja",'Mapa final'!$L$76="Mayor"),CONCATENATE("R",'Mapa final'!$A$76),"")</f>
        <v/>
      </c>
      <c r="AG44" s="299"/>
      <c r="AH44" s="311" t="str">
        <f ca="1">IF(AND('Mapa final'!$H$64="Muy Baja",'Mapa final'!$L$64="Catastrófico"),CONCATENATE("R",'Mapa final'!$A$64),"")</f>
        <v/>
      </c>
      <c r="AI44" s="312"/>
      <c r="AJ44" s="312" t="str">
        <f>IF(AND('Mapa final'!$H$70="Muy Baja",'Mapa final'!$L$70="Catastrófico"),CONCATENATE("R",'Mapa final'!$A$70),"")</f>
        <v/>
      </c>
      <c r="AK44" s="312"/>
      <c r="AL44" s="312" t="str">
        <f>IF(AND('Mapa final'!$H$76="Muy Baja",'Mapa final'!$L$76="Catastrófico"),CONCATENATE("R",'Mapa final'!$A$76),"")</f>
        <v/>
      </c>
      <c r="AM44" s="313"/>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251"/>
      <c r="C45" s="251"/>
      <c r="D45" s="252"/>
      <c r="E45" s="295"/>
      <c r="F45" s="296"/>
      <c r="G45" s="296"/>
      <c r="H45" s="296"/>
      <c r="I45" s="297"/>
      <c r="J45" s="332"/>
      <c r="K45" s="333"/>
      <c r="L45" s="333"/>
      <c r="M45" s="333"/>
      <c r="N45" s="333"/>
      <c r="O45" s="334"/>
      <c r="P45" s="332"/>
      <c r="Q45" s="333"/>
      <c r="R45" s="333"/>
      <c r="S45" s="333"/>
      <c r="T45" s="333"/>
      <c r="U45" s="334"/>
      <c r="V45" s="323"/>
      <c r="W45" s="324"/>
      <c r="X45" s="324"/>
      <c r="Y45" s="324"/>
      <c r="Z45" s="324"/>
      <c r="AA45" s="325"/>
      <c r="AB45" s="308"/>
      <c r="AC45" s="309"/>
      <c r="AD45" s="309"/>
      <c r="AE45" s="309"/>
      <c r="AF45" s="309"/>
      <c r="AG45" s="310"/>
      <c r="AH45" s="314"/>
      <c r="AI45" s="315"/>
      <c r="AJ45" s="315"/>
      <c r="AK45" s="315"/>
      <c r="AL45" s="315"/>
      <c r="AM45" s="316"/>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289" t="s">
        <v>112</v>
      </c>
      <c r="K46" s="290"/>
      <c r="L46" s="290"/>
      <c r="M46" s="290"/>
      <c r="N46" s="290"/>
      <c r="O46" s="291"/>
      <c r="P46" s="289" t="s">
        <v>111</v>
      </c>
      <c r="Q46" s="290"/>
      <c r="R46" s="290"/>
      <c r="S46" s="290"/>
      <c r="T46" s="290"/>
      <c r="U46" s="291"/>
      <c r="V46" s="289" t="s">
        <v>110</v>
      </c>
      <c r="W46" s="290"/>
      <c r="X46" s="290"/>
      <c r="Y46" s="290"/>
      <c r="Z46" s="290"/>
      <c r="AA46" s="291"/>
      <c r="AB46" s="289" t="s">
        <v>109</v>
      </c>
      <c r="AC46" s="307"/>
      <c r="AD46" s="290"/>
      <c r="AE46" s="290"/>
      <c r="AF46" s="290"/>
      <c r="AG46" s="291"/>
      <c r="AH46" s="289" t="s">
        <v>108</v>
      </c>
      <c r="AI46" s="290"/>
      <c r="AJ46" s="290"/>
      <c r="AK46" s="290"/>
      <c r="AL46" s="290"/>
      <c r="AM46" s="291"/>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292"/>
      <c r="K47" s="293"/>
      <c r="L47" s="293"/>
      <c r="M47" s="293"/>
      <c r="N47" s="293"/>
      <c r="O47" s="294"/>
      <c r="P47" s="292"/>
      <c r="Q47" s="293"/>
      <c r="R47" s="293"/>
      <c r="S47" s="293"/>
      <c r="T47" s="293"/>
      <c r="U47" s="294"/>
      <c r="V47" s="292"/>
      <c r="W47" s="293"/>
      <c r="X47" s="293"/>
      <c r="Y47" s="293"/>
      <c r="Z47" s="293"/>
      <c r="AA47" s="294"/>
      <c r="AB47" s="292"/>
      <c r="AC47" s="293"/>
      <c r="AD47" s="293"/>
      <c r="AE47" s="293"/>
      <c r="AF47" s="293"/>
      <c r="AG47" s="294"/>
      <c r="AH47" s="292"/>
      <c r="AI47" s="293"/>
      <c r="AJ47" s="293"/>
      <c r="AK47" s="293"/>
      <c r="AL47" s="293"/>
      <c r="AM47" s="29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292"/>
      <c r="K48" s="293"/>
      <c r="L48" s="293"/>
      <c r="M48" s="293"/>
      <c r="N48" s="293"/>
      <c r="O48" s="294"/>
      <c r="P48" s="292"/>
      <c r="Q48" s="293"/>
      <c r="R48" s="293"/>
      <c r="S48" s="293"/>
      <c r="T48" s="293"/>
      <c r="U48" s="294"/>
      <c r="V48" s="292"/>
      <c r="W48" s="293"/>
      <c r="X48" s="293"/>
      <c r="Y48" s="293"/>
      <c r="Z48" s="293"/>
      <c r="AA48" s="294"/>
      <c r="AB48" s="292"/>
      <c r="AC48" s="293"/>
      <c r="AD48" s="293"/>
      <c r="AE48" s="293"/>
      <c r="AF48" s="293"/>
      <c r="AG48" s="294"/>
      <c r="AH48" s="292"/>
      <c r="AI48" s="293"/>
      <c r="AJ48" s="293"/>
      <c r="AK48" s="293"/>
      <c r="AL48" s="293"/>
      <c r="AM48" s="29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292"/>
      <c r="K49" s="293"/>
      <c r="L49" s="293"/>
      <c r="M49" s="293"/>
      <c r="N49" s="293"/>
      <c r="O49" s="294"/>
      <c r="P49" s="292"/>
      <c r="Q49" s="293"/>
      <c r="R49" s="293"/>
      <c r="S49" s="293"/>
      <c r="T49" s="293"/>
      <c r="U49" s="294"/>
      <c r="V49" s="292"/>
      <c r="W49" s="293"/>
      <c r="X49" s="293"/>
      <c r="Y49" s="293"/>
      <c r="Z49" s="293"/>
      <c r="AA49" s="294"/>
      <c r="AB49" s="292"/>
      <c r="AC49" s="293"/>
      <c r="AD49" s="293"/>
      <c r="AE49" s="293"/>
      <c r="AF49" s="293"/>
      <c r="AG49" s="294"/>
      <c r="AH49" s="292"/>
      <c r="AI49" s="293"/>
      <c r="AJ49" s="293"/>
      <c r="AK49" s="293"/>
      <c r="AL49" s="293"/>
      <c r="AM49" s="29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292"/>
      <c r="K50" s="293"/>
      <c r="L50" s="293"/>
      <c r="M50" s="293"/>
      <c r="N50" s="293"/>
      <c r="O50" s="294"/>
      <c r="P50" s="292"/>
      <c r="Q50" s="293"/>
      <c r="R50" s="293"/>
      <c r="S50" s="293"/>
      <c r="T50" s="293"/>
      <c r="U50" s="294"/>
      <c r="V50" s="292"/>
      <c r="W50" s="293"/>
      <c r="X50" s="293"/>
      <c r="Y50" s="293"/>
      <c r="Z50" s="293"/>
      <c r="AA50" s="294"/>
      <c r="AB50" s="292"/>
      <c r="AC50" s="293"/>
      <c r="AD50" s="293"/>
      <c r="AE50" s="293"/>
      <c r="AF50" s="293"/>
      <c r="AG50" s="294"/>
      <c r="AH50" s="292"/>
      <c r="AI50" s="293"/>
      <c r="AJ50" s="293"/>
      <c r="AK50" s="293"/>
      <c r="AL50" s="293"/>
      <c r="AM50" s="29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295"/>
      <c r="K51" s="296"/>
      <c r="L51" s="296"/>
      <c r="M51" s="296"/>
      <c r="N51" s="296"/>
      <c r="O51" s="297"/>
      <c r="P51" s="295"/>
      <c r="Q51" s="296"/>
      <c r="R51" s="296"/>
      <c r="S51" s="296"/>
      <c r="T51" s="296"/>
      <c r="U51" s="297"/>
      <c r="V51" s="295"/>
      <c r="W51" s="296"/>
      <c r="X51" s="296"/>
      <c r="Y51" s="296"/>
      <c r="Z51" s="296"/>
      <c r="AA51" s="297"/>
      <c r="AB51" s="295"/>
      <c r="AC51" s="296"/>
      <c r="AD51" s="296"/>
      <c r="AE51" s="296"/>
      <c r="AF51" s="296"/>
      <c r="AG51" s="297"/>
      <c r="AH51" s="295"/>
      <c r="AI51" s="296"/>
      <c r="AJ51" s="296"/>
      <c r="AK51" s="296"/>
      <c r="AL51" s="296"/>
      <c r="AM51" s="297"/>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19"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365" t="s">
        <v>160</v>
      </c>
      <c r="C2" s="366"/>
      <c r="D2" s="366"/>
      <c r="E2" s="366"/>
      <c r="F2" s="366"/>
      <c r="G2" s="366"/>
      <c r="H2" s="366"/>
      <c r="I2" s="366"/>
      <c r="J2" s="305" t="s">
        <v>2</v>
      </c>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366"/>
      <c r="C3" s="366"/>
      <c r="D3" s="366"/>
      <c r="E3" s="366"/>
      <c r="F3" s="366"/>
      <c r="G3" s="366"/>
      <c r="H3" s="366"/>
      <c r="I3" s="366"/>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366"/>
      <c r="C4" s="366"/>
      <c r="D4" s="366"/>
      <c r="E4" s="366"/>
      <c r="F4" s="366"/>
      <c r="G4" s="366"/>
      <c r="H4" s="366"/>
      <c r="I4" s="366"/>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251" t="s">
        <v>4</v>
      </c>
      <c r="C6" s="251"/>
      <c r="D6" s="252"/>
      <c r="E6" s="348" t="s">
        <v>116</v>
      </c>
      <c r="F6" s="349"/>
      <c r="G6" s="349"/>
      <c r="H6" s="349"/>
      <c r="I6" s="367"/>
      <c r="J6" s="46" t="str">
        <f ca="1">IF(AND('Mapa final'!$Y$10="Muy Alta",'Mapa final'!$AA$10="Leve"),CONCATENATE("R1C",'Mapa final'!$O$10),"")</f>
        <v/>
      </c>
      <c r="K6" s="47" t="str">
        <f>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4"/>
      <c r="AO6" s="356" t="s">
        <v>79</v>
      </c>
      <c r="AP6" s="357"/>
      <c r="AQ6" s="357"/>
      <c r="AR6" s="357"/>
      <c r="AS6" s="357"/>
      <c r="AT6" s="358"/>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251"/>
      <c r="C7" s="251"/>
      <c r="D7" s="252"/>
      <c r="E7" s="352"/>
      <c r="F7" s="353"/>
      <c r="G7" s="353"/>
      <c r="H7" s="353"/>
      <c r="I7" s="368"/>
      <c r="J7" s="52" t="str">
        <f ca="1">IF(AND('Mapa final'!$Y$16="Muy Alta",'Mapa final'!$AA$16="Leve"),CONCATENATE("R2C",'Mapa final'!$O$16),"")</f>
        <v/>
      </c>
      <c r="K7" s="53" t="str">
        <f>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 ca="1">IF(AND('Mapa final'!$Y$16="Muy Alta",'Mapa final'!$AA$16="Menor"),CONCATENATE("R2C",'Mapa final'!$O$16),"")</f>
        <v/>
      </c>
      <c r="Q7" s="53" t="str">
        <f>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 ca="1">IF(AND('Mapa final'!$Y$16="Muy Alta",'Mapa final'!$AA$16="Moderado"),CONCATENATE("R2C",'Mapa final'!$O$16),"")</f>
        <v/>
      </c>
      <c r="W7" s="53" t="str">
        <f>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 ca="1">IF(AND('Mapa final'!$Y$16="Muy Alta",'Mapa final'!$AA$16="Mayor"),CONCATENATE("R2C",'Mapa final'!$O$16),"")</f>
        <v/>
      </c>
      <c r="AC7" s="53" t="str">
        <f>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 ca="1">IF(AND('Mapa final'!$Y$16="Muy Alta",'Mapa final'!$AA$16="Catastrófico"),CONCATENATE("R2C",'Mapa final'!$O$16),"")</f>
        <v/>
      </c>
      <c r="AI7" s="56" t="str">
        <f>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4"/>
      <c r="AO7" s="359"/>
      <c r="AP7" s="360"/>
      <c r="AQ7" s="360"/>
      <c r="AR7" s="360"/>
      <c r="AS7" s="360"/>
      <c r="AT7" s="361"/>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251"/>
      <c r="C8" s="251"/>
      <c r="D8" s="252"/>
      <c r="E8" s="352"/>
      <c r="F8" s="353"/>
      <c r="G8" s="353"/>
      <c r="H8" s="353"/>
      <c r="I8" s="368"/>
      <c r="J8" s="52" t="str">
        <f ca="1">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 ca="1">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 ca="1">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 ca="1">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 ca="1">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4"/>
      <c r="AO8" s="359"/>
      <c r="AP8" s="360"/>
      <c r="AQ8" s="360"/>
      <c r="AR8" s="360"/>
      <c r="AS8" s="360"/>
      <c r="AT8" s="361"/>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251"/>
      <c r="C9" s="251"/>
      <c r="D9" s="252"/>
      <c r="E9" s="352"/>
      <c r="F9" s="353"/>
      <c r="G9" s="353"/>
      <c r="H9" s="353"/>
      <c r="I9" s="368"/>
      <c r="J9" s="52" t="str">
        <f>IF(AND('Mapa final'!$Y$28="Muy Alta",'Mapa final'!$AA$28="Leve"),CONCATENATE("R4C",'Mapa final'!$O$28),"")</f>
        <v/>
      </c>
      <c r="K9" s="53" t="str">
        <f>IF(AND('Mapa final'!$Y$29="Muy Alta",'Mapa final'!$AA$29="Leve"),CONCATENATE("R4C",'Mapa final'!$O$29),"")</f>
        <v/>
      </c>
      <c r="L9" s="58" t="str">
        <f>IF(AND('Mapa final'!$Y$30="Muy Alta",'Mapa final'!$AA$30="Leve"),CONCATENATE("R4C",'Mapa final'!$O$30),"")</f>
        <v/>
      </c>
      <c r="M9" s="58" t="str">
        <f>IF(AND('Mapa final'!$Y$31="Muy Alta",'Mapa final'!$AA$31="Leve"),CONCATENATE("R4C",'Mapa final'!$O$31),"")</f>
        <v/>
      </c>
      <c r="N9" s="58" t="str">
        <f>IF(AND('Mapa final'!$Y$32="Muy Alta",'Mapa final'!$AA$32="Leve"),CONCATENATE("R4C",'Mapa final'!$O$32),"")</f>
        <v/>
      </c>
      <c r="O9" s="54" t="str">
        <f>IF(AND('Mapa final'!$Y$33="Muy Alta",'Mapa final'!$AA$33="Leve"),CONCATENATE("R4C",'Mapa final'!$O$33),"")</f>
        <v/>
      </c>
      <c r="P9" s="52" t="str">
        <f>IF(AND('Mapa final'!$Y$28="Muy Alta",'Mapa final'!$AA$28="Menor"),CONCATENATE("R4C",'Mapa final'!$O$28),"")</f>
        <v/>
      </c>
      <c r="Q9" s="53" t="str">
        <f>IF(AND('Mapa final'!$Y$29="Muy Alta",'Mapa final'!$AA$29="Menor"),CONCATENATE("R4C",'Mapa final'!$O$29),"")</f>
        <v/>
      </c>
      <c r="R9" s="58" t="str">
        <f>IF(AND('Mapa final'!$Y$30="Muy Alta",'Mapa final'!$AA$30="Menor"),CONCATENATE("R4C",'Mapa final'!$O$30),"")</f>
        <v/>
      </c>
      <c r="S9" s="58" t="str">
        <f>IF(AND('Mapa final'!$Y$31="Muy Alta",'Mapa final'!$AA$31="Menor"),CONCATENATE("R4C",'Mapa final'!$O$31),"")</f>
        <v/>
      </c>
      <c r="T9" s="58" t="str">
        <f>IF(AND('Mapa final'!$Y$32="Muy Alta",'Mapa final'!$AA$32="Menor"),CONCATENATE("R4C",'Mapa final'!$O$32),"")</f>
        <v/>
      </c>
      <c r="U9" s="54" t="str">
        <f>IF(AND('Mapa final'!$Y$33="Muy Alta",'Mapa final'!$AA$33="Menor"),CONCATENATE("R4C",'Mapa final'!$O$33),"")</f>
        <v/>
      </c>
      <c r="V9" s="52" t="str">
        <f>IF(AND('Mapa final'!$Y$28="Muy Alta",'Mapa final'!$AA$28="Moderado"),CONCATENATE("R4C",'Mapa final'!$O$28),"")</f>
        <v/>
      </c>
      <c r="W9" s="53" t="str">
        <f>IF(AND('Mapa final'!$Y$29="Muy Alta",'Mapa final'!$AA$29="Moderado"),CONCATENATE("R4C",'Mapa final'!$O$29),"")</f>
        <v/>
      </c>
      <c r="X9" s="58" t="str">
        <f>IF(AND('Mapa final'!$Y$30="Muy Alta",'Mapa final'!$AA$30="Moderado"),CONCATENATE("R4C",'Mapa final'!$O$30),"")</f>
        <v/>
      </c>
      <c r="Y9" s="58" t="str">
        <f>IF(AND('Mapa final'!$Y$31="Muy Alta",'Mapa final'!$AA$31="Moderado"),CONCATENATE("R4C",'Mapa final'!$O$31),"")</f>
        <v/>
      </c>
      <c r="Z9" s="58" t="str">
        <f>IF(AND('Mapa final'!$Y$32="Muy Alta",'Mapa final'!$AA$32="Moderado"),CONCATENATE("R4C",'Mapa final'!$O$32),"")</f>
        <v/>
      </c>
      <c r="AA9" s="54" t="str">
        <f>IF(AND('Mapa final'!$Y$33="Muy Alta",'Mapa final'!$AA$33="Moderado"),CONCATENATE("R4C",'Mapa final'!$O$33),"")</f>
        <v/>
      </c>
      <c r="AB9" s="52" t="str">
        <f>IF(AND('Mapa final'!$Y$28="Muy Alta",'Mapa final'!$AA$28="Mayor"),CONCATENATE("R4C",'Mapa final'!$O$28),"")</f>
        <v/>
      </c>
      <c r="AC9" s="53" t="str">
        <f>IF(AND('Mapa final'!$Y$29="Muy Alta",'Mapa final'!$AA$29="Mayor"),CONCATENATE("R4C",'Mapa final'!$O$29),"")</f>
        <v/>
      </c>
      <c r="AD9" s="58" t="str">
        <f>IF(AND('Mapa final'!$Y$30="Muy Alta",'Mapa final'!$AA$30="Mayor"),CONCATENATE("R4C",'Mapa final'!$O$30),"")</f>
        <v/>
      </c>
      <c r="AE9" s="58" t="str">
        <f>IF(AND('Mapa final'!$Y$31="Muy Alta",'Mapa final'!$AA$31="Mayor"),CONCATENATE("R4C",'Mapa final'!$O$31),"")</f>
        <v/>
      </c>
      <c r="AF9" s="58" t="str">
        <f>IF(AND('Mapa final'!$Y$32="Muy Alta",'Mapa final'!$AA$32="Mayor"),CONCATENATE("R4C",'Mapa final'!$O$32),"")</f>
        <v/>
      </c>
      <c r="AG9" s="54" t="str">
        <f>IF(AND('Mapa final'!$Y$33="Muy Alta",'Mapa final'!$AA$33="Mayor"),CONCATENATE("R4C",'Mapa final'!$O$33),"")</f>
        <v/>
      </c>
      <c r="AH9" s="55" t="str">
        <f>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4"/>
      <c r="AO9" s="359"/>
      <c r="AP9" s="360"/>
      <c r="AQ9" s="360"/>
      <c r="AR9" s="360"/>
      <c r="AS9" s="360"/>
      <c r="AT9" s="361"/>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251"/>
      <c r="C10" s="251"/>
      <c r="D10" s="252"/>
      <c r="E10" s="352"/>
      <c r="F10" s="353"/>
      <c r="G10" s="353"/>
      <c r="H10" s="353"/>
      <c r="I10" s="368"/>
      <c r="J10" s="52" t="str">
        <f>IF(AND('Mapa final'!$Y$34="Muy Alta",'Mapa final'!$AA$34="Leve"),CONCATENATE("R5C",'Mapa final'!$O$34),"")</f>
        <v/>
      </c>
      <c r="K10" s="53" t="str">
        <f>IF(AND('Mapa final'!$Y$35="Muy Alta",'Mapa final'!$AA$35="Leve"),CONCATENATE("R5C",'Mapa final'!$O$35),"")</f>
        <v/>
      </c>
      <c r="L10" s="58" t="str">
        <f>IF(AND('Mapa final'!$Y$36="Muy Alta",'Mapa final'!$AA$36="Leve"),CONCATENATE("R5C",'Mapa final'!$O$36),"")</f>
        <v/>
      </c>
      <c r="M10" s="58" t="str">
        <f>IF(AND('Mapa final'!$Y$37="Muy Alta",'Mapa final'!$AA$37="Leve"),CONCATENATE("R5C",'Mapa final'!$O$37),"")</f>
        <v/>
      </c>
      <c r="N10" s="58" t="str">
        <f>IF(AND('Mapa final'!$Y$38="Muy Alta",'Mapa final'!$AA$38="Leve"),CONCATENATE("R5C",'Mapa final'!$O$38),"")</f>
        <v/>
      </c>
      <c r="O10" s="54" t="str">
        <f>IF(AND('Mapa final'!$Y$39="Muy Alta",'Mapa final'!$AA$39="Leve"),CONCATENATE("R5C",'Mapa final'!$O$39),"")</f>
        <v/>
      </c>
      <c r="P10" s="52" t="str">
        <f>IF(AND('Mapa final'!$Y$34="Muy Alta",'Mapa final'!$AA$34="Menor"),CONCATENATE("R5C",'Mapa final'!$O$34),"")</f>
        <v/>
      </c>
      <c r="Q10" s="53" t="str">
        <f>IF(AND('Mapa final'!$Y$35="Muy Alta",'Mapa final'!$AA$35="Menor"),CONCATENATE("R5C",'Mapa final'!$O$35),"")</f>
        <v/>
      </c>
      <c r="R10" s="58" t="str">
        <f>IF(AND('Mapa final'!$Y$36="Muy Alta",'Mapa final'!$AA$36="Menor"),CONCATENATE("R5C",'Mapa final'!$O$36),"")</f>
        <v/>
      </c>
      <c r="S10" s="58" t="str">
        <f>IF(AND('Mapa final'!$Y$37="Muy Alta",'Mapa final'!$AA$37="Menor"),CONCATENATE("R5C",'Mapa final'!$O$37),"")</f>
        <v/>
      </c>
      <c r="T10" s="58" t="str">
        <f>IF(AND('Mapa final'!$Y$38="Muy Alta",'Mapa final'!$AA$38="Menor"),CONCATENATE("R5C",'Mapa final'!$O$38),"")</f>
        <v/>
      </c>
      <c r="U10" s="54" t="str">
        <f>IF(AND('Mapa final'!$Y$39="Muy Alta",'Mapa final'!$AA$39="Menor"),CONCATENATE("R5C",'Mapa final'!$O$39),"")</f>
        <v/>
      </c>
      <c r="V10" s="52" t="str">
        <f>IF(AND('Mapa final'!$Y$34="Muy Alta",'Mapa final'!$AA$34="Moderado"),CONCATENATE("R5C",'Mapa final'!$O$34),"")</f>
        <v/>
      </c>
      <c r="W10" s="53" t="str">
        <f>IF(AND('Mapa final'!$Y$35="Muy Alta",'Mapa final'!$AA$35="Moderado"),CONCATENATE("R5C",'Mapa final'!$O$35),"")</f>
        <v/>
      </c>
      <c r="X10" s="58" t="str">
        <f>IF(AND('Mapa final'!$Y$36="Muy Alta",'Mapa final'!$AA$36="Moderado"),CONCATENATE("R5C",'Mapa final'!$O$36),"")</f>
        <v/>
      </c>
      <c r="Y10" s="58" t="str">
        <f>IF(AND('Mapa final'!$Y$37="Muy Alta",'Mapa final'!$AA$37="Moderado"),CONCATENATE("R5C",'Mapa final'!$O$37),"")</f>
        <v/>
      </c>
      <c r="Z10" s="58" t="str">
        <f>IF(AND('Mapa final'!$Y$38="Muy Alta",'Mapa final'!$AA$38="Moderado"),CONCATENATE("R5C",'Mapa final'!$O$38),"")</f>
        <v/>
      </c>
      <c r="AA10" s="54" t="str">
        <f>IF(AND('Mapa final'!$Y$39="Muy Alta",'Mapa final'!$AA$39="Moderado"),CONCATENATE("R5C",'Mapa final'!$O$39),"")</f>
        <v/>
      </c>
      <c r="AB10" s="52" t="str">
        <f>IF(AND('Mapa final'!$Y$34="Muy Alta",'Mapa final'!$AA$34="Mayor"),CONCATENATE("R5C",'Mapa final'!$O$34),"")</f>
        <v/>
      </c>
      <c r="AC10" s="53" t="str">
        <f>IF(AND('Mapa final'!$Y$35="Muy Alta",'Mapa final'!$AA$35="Mayor"),CONCATENATE("R5C",'Mapa final'!$O$35),"")</f>
        <v/>
      </c>
      <c r="AD10" s="58" t="str">
        <f>IF(AND('Mapa final'!$Y$36="Muy Alta",'Mapa final'!$AA$36="Mayor"),CONCATENATE("R5C",'Mapa final'!$O$36),"")</f>
        <v/>
      </c>
      <c r="AE10" s="58" t="str">
        <f>IF(AND('Mapa final'!$Y$37="Muy Alta",'Mapa final'!$AA$37="Mayor"),CONCATENATE("R5C",'Mapa final'!$O$37),"")</f>
        <v/>
      </c>
      <c r="AF10" s="58" t="str">
        <f>IF(AND('Mapa final'!$Y$38="Muy Alta",'Mapa final'!$AA$38="Mayor"),CONCATENATE("R5C",'Mapa final'!$O$38),"")</f>
        <v/>
      </c>
      <c r="AG10" s="54" t="str">
        <f>IF(AND('Mapa final'!$Y$39="Muy Alta",'Mapa final'!$AA$39="Mayor"),CONCATENATE("R5C",'Mapa final'!$O$39),"")</f>
        <v/>
      </c>
      <c r="AH10" s="55" t="str">
        <f>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4"/>
      <c r="AO10" s="359"/>
      <c r="AP10" s="360"/>
      <c r="AQ10" s="360"/>
      <c r="AR10" s="360"/>
      <c r="AS10" s="360"/>
      <c r="AT10" s="361"/>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251"/>
      <c r="C11" s="251"/>
      <c r="D11" s="252"/>
      <c r="E11" s="352"/>
      <c r="F11" s="353"/>
      <c r="G11" s="353"/>
      <c r="H11" s="353"/>
      <c r="I11" s="368"/>
      <c r="J11" s="52" t="str">
        <f>IF(AND('Mapa final'!$Y$40="Muy Alta",'Mapa final'!$AA$40="Leve"),CONCATENATE("R6C",'Mapa final'!$O$40),"")</f>
        <v/>
      </c>
      <c r="K11" s="53" t="str">
        <f>IF(AND('Mapa final'!$Y$41="Muy Alta",'Mapa final'!$AA$41="Leve"),CONCATENATE("R6C",'Mapa final'!$O$41),"")</f>
        <v/>
      </c>
      <c r="L11" s="58" t="str">
        <f>IF(AND('Mapa final'!$Y$42="Muy Alta",'Mapa final'!$AA$42="Leve"),CONCATENATE("R6C",'Mapa final'!$O$42),"")</f>
        <v/>
      </c>
      <c r="M11" s="58" t="str">
        <f>IF(AND('Mapa final'!$Y$43="Muy Alta",'Mapa final'!$AA$43="Leve"),CONCATENATE("R6C",'Mapa final'!$O$43),"")</f>
        <v/>
      </c>
      <c r="N11" s="58" t="str">
        <f>IF(AND('Mapa final'!$Y$44="Muy Alta",'Mapa final'!$AA$44="Leve"),CONCATENATE("R6C",'Mapa final'!$O$44),"")</f>
        <v/>
      </c>
      <c r="O11" s="54" t="str">
        <f>IF(AND('Mapa final'!$Y$45="Muy Alta",'Mapa final'!$AA$45="Leve"),CONCATENATE("R6C",'Mapa final'!$O$45),"")</f>
        <v/>
      </c>
      <c r="P11" s="52" t="str">
        <f>IF(AND('Mapa final'!$Y$40="Muy Alta",'Mapa final'!$AA$40="Menor"),CONCATENATE("R6C",'Mapa final'!$O$40),"")</f>
        <v/>
      </c>
      <c r="Q11" s="53" t="str">
        <f>IF(AND('Mapa final'!$Y$41="Muy Alta",'Mapa final'!$AA$41="Menor"),CONCATENATE("R6C",'Mapa final'!$O$41),"")</f>
        <v/>
      </c>
      <c r="R11" s="58" t="str">
        <f>IF(AND('Mapa final'!$Y$42="Muy Alta",'Mapa final'!$AA$42="Menor"),CONCATENATE("R6C",'Mapa final'!$O$42),"")</f>
        <v/>
      </c>
      <c r="S11" s="58" t="str">
        <f>IF(AND('Mapa final'!$Y$43="Muy Alta",'Mapa final'!$AA$43="Menor"),CONCATENATE("R6C",'Mapa final'!$O$43),"")</f>
        <v/>
      </c>
      <c r="T11" s="58" t="str">
        <f>IF(AND('Mapa final'!$Y$44="Muy Alta",'Mapa final'!$AA$44="Menor"),CONCATENATE("R6C",'Mapa final'!$O$44),"")</f>
        <v/>
      </c>
      <c r="U11" s="54" t="str">
        <f>IF(AND('Mapa final'!$Y$45="Muy Alta",'Mapa final'!$AA$45="Menor"),CONCATENATE("R6C",'Mapa final'!$O$45),"")</f>
        <v/>
      </c>
      <c r="V11" s="52" t="str">
        <f>IF(AND('Mapa final'!$Y$40="Muy Alta",'Mapa final'!$AA$40="Moderado"),CONCATENATE("R6C",'Mapa final'!$O$40),"")</f>
        <v/>
      </c>
      <c r="W11" s="53" t="str">
        <f>IF(AND('Mapa final'!$Y$41="Muy Alta",'Mapa final'!$AA$41="Moderado"),CONCATENATE("R6C",'Mapa final'!$O$41),"")</f>
        <v/>
      </c>
      <c r="X11" s="58" t="str">
        <f>IF(AND('Mapa final'!$Y$42="Muy Alta",'Mapa final'!$AA$42="Moderado"),CONCATENATE("R6C",'Mapa final'!$O$42),"")</f>
        <v/>
      </c>
      <c r="Y11" s="58" t="str">
        <f>IF(AND('Mapa final'!$Y$43="Muy Alta",'Mapa final'!$AA$43="Moderado"),CONCATENATE("R6C",'Mapa final'!$O$43),"")</f>
        <v/>
      </c>
      <c r="Z11" s="58" t="str">
        <f>IF(AND('Mapa final'!$Y$44="Muy Alta",'Mapa final'!$AA$44="Moderado"),CONCATENATE("R6C",'Mapa final'!$O$44),"")</f>
        <v/>
      </c>
      <c r="AA11" s="54" t="str">
        <f>IF(AND('Mapa final'!$Y$45="Muy Alta",'Mapa final'!$AA$45="Moderado"),CONCATENATE("R6C",'Mapa final'!$O$45),"")</f>
        <v/>
      </c>
      <c r="AB11" s="52" t="str">
        <f>IF(AND('Mapa final'!$Y$40="Muy Alta",'Mapa final'!$AA$40="Mayor"),CONCATENATE("R6C",'Mapa final'!$O$40),"")</f>
        <v/>
      </c>
      <c r="AC11" s="53" t="str">
        <f>IF(AND('Mapa final'!$Y$41="Muy Alta",'Mapa final'!$AA$41="Mayor"),CONCATENATE("R6C",'Mapa final'!$O$41),"")</f>
        <v/>
      </c>
      <c r="AD11" s="58" t="str">
        <f>IF(AND('Mapa final'!$Y$42="Muy Alta",'Mapa final'!$AA$42="Mayor"),CONCATENATE("R6C",'Mapa final'!$O$42),"")</f>
        <v/>
      </c>
      <c r="AE11" s="58" t="str">
        <f>IF(AND('Mapa final'!$Y$43="Muy Alta",'Mapa final'!$AA$43="Mayor"),CONCATENATE("R6C",'Mapa final'!$O$43),"")</f>
        <v/>
      </c>
      <c r="AF11" s="58" t="str">
        <f>IF(AND('Mapa final'!$Y$44="Muy Alta",'Mapa final'!$AA$44="Mayor"),CONCATENATE("R6C",'Mapa final'!$O$44),"")</f>
        <v/>
      </c>
      <c r="AG11" s="54" t="str">
        <f>IF(AND('Mapa final'!$Y$45="Muy Alta",'Mapa final'!$AA$45="Mayor"),CONCATENATE("R6C",'Mapa final'!$O$45),"")</f>
        <v/>
      </c>
      <c r="AH11" s="55" t="str">
        <f>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4"/>
      <c r="AO11" s="359"/>
      <c r="AP11" s="360"/>
      <c r="AQ11" s="360"/>
      <c r="AR11" s="360"/>
      <c r="AS11" s="360"/>
      <c r="AT11" s="361"/>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251"/>
      <c r="C12" s="251"/>
      <c r="D12" s="252"/>
      <c r="E12" s="352"/>
      <c r="F12" s="353"/>
      <c r="G12" s="353"/>
      <c r="H12" s="353"/>
      <c r="I12" s="368"/>
      <c r="J12" s="52" t="str">
        <f>IF(AND('Mapa final'!$Y$46="Muy Alta",'Mapa final'!$AA$46="Leve"),CONCATENATE("R7C",'Mapa final'!$O$46),"")</f>
        <v/>
      </c>
      <c r="K12" s="53" t="str">
        <f>IF(AND('Mapa final'!$Y$47="Muy Alta",'Mapa final'!$AA$47="Leve"),CONCATENATE("R7C",'Mapa final'!$O$47),"")</f>
        <v/>
      </c>
      <c r="L12" s="58" t="str">
        <f>IF(AND('Mapa final'!$Y$48="Muy Alta",'Mapa final'!$AA$48="Leve"),CONCATENATE("R7C",'Mapa final'!$O$48),"")</f>
        <v/>
      </c>
      <c r="M12" s="58" t="str">
        <f>IF(AND('Mapa final'!$Y$49="Muy Alta",'Mapa final'!$AA$49="Leve"),CONCATENATE("R7C",'Mapa final'!$O$49),"")</f>
        <v/>
      </c>
      <c r="N12" s="58" t="str">
        <f>IF(AND('Mapa final'!$Y$50="Muy Alta",'Mapa final'!$AA$50="Leve"),CONCATENATE("R7C",'Mapa final'!$O$50),"")</f>
        <v/>
      </c>
      <c r="O12" s="54" t="str">
        <f>IF(AND('Mapa final'!$Y$51="Muy Alta",'Mapa final'!$AA$51="Leve"),CONCATENATE("R7C",'Mapa final'!$O$51),"")</f>
        <v/>
      </c>
      <c r="P12" s="52" t="str">
        <f>IF(AND('Mapa final'!$Y$46="Muy Alta",'Mapa final'!$AA$46="Menor"),CONCATENATE("R7C",'Mapa final'!$O$46),"")</f>
        <v/>
      </c>
      <c r="Q12" s="53" t="str">
        <f>IF(AND('Mapa final'!$Y$47="Muy Alta",'Mapa final'!$AA$47="Menor"),CONCATENATE("R7C",'Mapa final'!$O$47),"")</f>
        <v/>
      </c>
      <c r="R12" s="58" t="str">
        <f>IF(AND('Mapa final'!$Y$48="Muy Alta",'Mapa final'!$AA$48="Menor"),CONCATENATE("R7C",'Mapa final'!$O$48),"")</f>
        <v/>
      </c>
      <c r="S12" s="58" t="str">
        <f>IF(AND('Mapa final'!$Y$49="Muy Alta",'Mapa final'!$AA$49="Menor"),CONCATENATE("R7C",'Mapa final'!$O$49),"")</f>
        <v/>
      </c>
      <c r="T12" s="58" t="str">
        <f>IF(AND('Mapa final'!$Y$50="Muy Alta",'Mapa final'!$AA$50="Menor"),CONCATENATE("R7C",'Mapa final'!$O$50),"")</f>
        <v/>
      </c>
      <c r="U12" s="54" t="str">
        <f>IF(AND('Mapa final'!$Y$51="Muy Alta",'Mapa final'!$AA$51="Menor"),CONCATENATE("R7C",'Mapa final'!$O$51),"")</f>
        <v/>
      </c>
      <c r="V12" s="52" t="str">
        <f>IF(AND('Mapa final'!$Y$46="Muy Alta",'Mapa final'!$AA$46="Moderado"),CONCATENATE("R7C",'Mapa final'!$O$46),"")</f>
        <v/>
      </c>
      <c r="W12" s="53" t="str">
        <f>IF(AND('Mapa final'!$Y$47="Muy Alta",'Mapa final'!$AA$47="Moderado"),CONCATENATE("R7C",'Mapa final'!$O$47),"")</f>
        <v/>
      </c>
      <c r="X12" s="58" t="str">
        <f>IF(AND('Mapa final'!$Y$48="Muy Alta",'Mapa final'!$AA$48="Moderado"),CONCATENATE("R7C",'Mapa final'!$O$48),"")</f>
        <v/>
      </c>
      <c r="Y12" s="58" t="str">
        <f>IF(AND('Mapa final'!$Y$49="Muy Alta",'Mapa final'!$AA$49="Moderado"),CONCATENATE("R7C",'Mapa final'!$O$49),"")</f>
        <v/>
      </c>
      <c r="Z12" s="58" t="str">
        <f>IF(AND('Mapa final'!$Y$50="Muy Alta",'Mapa final'!$AA$50="Moderado"),CONCATENATE("R7C",'Mapa final'!$O$50),"")</f>
        <v/>
      </c>
      <c r="AA12" s="54" t="str">
        <f>IF(AND('Mapa final'!$Y$51="Muy Alta",'Mapa final'!$AA$51="Moderado"),CONCATENATE("R7C",'Mapa final'!$O$51),"")</f>
        <v/>
      </c>
      <c r="AB12" s="52" t="str">
        <f>IF(AND('Mapa final'!$Y$46="Muy Alta",'Mapa final'!$AA$46="Mayor"),CONCATENATE("R7C",'Mapa final'!$O$46),"")</f>
        <v/>
      </c>
      <c r="AC12" s="53" t="str">
        <f>IF(AND('Mapa final'!$Y$47="Muy Alta",'Mapa final'!$AA$47="Mayor"),CONCATENATE("R7C",'Mapa final'!$O$47),"")</f>
        <v/>
      </c>
      <c r="AD12" s="58" t="str">
        <f>IF(AND('Mapa final'!$Y$48="Muy Alta",'Mapa final'!$AA$48="Mayor"),CONCATENATE("R7C",'Mapa final'!$O$48),"")</f>
        <v/>
      </c>
      <c r="AE12" s="58" t="str">
        <f>IF(AND('Mapa final'!$Y$49="Muy Alta",'Mapa final'!$AA$49="Mayor"),CONCATENATE("R7C",'Mapa final'!$O$49),"")</f>
        <v/>
      </c>
      <c r="AF12" s="58" t="str">
        <f>IF(AND('Mapa final'!$Y$50="Muy Alta",'Mapa final'!$AA$50="Mayor"),CONCATENATE("R7C",'Mapa final'!$O$50),"")</f>
        <v/>
      </c>
      <c r="AG12" s="54" t="str">
        <f>IF(AND('Mapa final'!$Y$51="Muy Alta",'Mapa final'!$AA$51="Mayor"),CONCATENATE("R7C",'Mapa final'!$O$51),"")</f>
        <v/>
      </c>
      <c r="AH12" s="55" t="str">
        <f>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4"/>
      <c r="AO12" s="359"/>
      <c r="AP12" s="360"/>
      <c r="AQ12" s="360"/>
      <c r="AR12" s="360"/>
      <c r="AS12" s="360"/>
      <c r="AT12" s="361"/>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251"/>
      <c r="C13" s="251"/>
      <c r="D13" s="252"/>
      <c r="E13" s="352"/>
      <c r="F13" s="353"/>
      <c r="G13" s="353"/>
      <c r="H13" s="353"/>
      <c r="I13" s="368"/>
      <c r="J13" s="52" t="str">
        <f>IF(AND('Mapa final'!$Y$52="Muy Alta",'Mapa final'!$AA$52="Leve"),CONCATENATE("R8C",'Mapa final'!$O$52),"")</f>
        <v/>
      </c>
      <c r="K13" s="53" t="str">
        <f>IF(AND('Mapa final'!$Y$53="Muy Alta",'Mapa final'!$AA$53="Leve"),CONCATENATE("R8C",'Mapa final'!$O$53),"")</f>
        <v/>
      </c>
      <c r="L13" s="58" t="str">
        <f>IF(AND('Mapa final'!$Y$54="Muy Alta",'Mapa final'!$AA$54="Leve"),CONCATENATE("R8C",'Mapa final'!$O$54),"")</f>
        <v/>
      </c>
      <c r="M13" s="58" t="str">
        <f>IF(AND('Mapa final'!$Y$55="Muy Alta",'Mapa final'!$AA$55="Leve"),CONCATENATE("R8C",'Mapa final'!$O$55),"")</f>
        <v/>
      </c>
      <c r="N13" s="58" t="str">
        <f>IF(AND('Mapa final'!$Y$56="Muy Alta",'Mapa final'!$AA$56="Leve"),CONCATENATE("R8C",'Mapa final'!$O$56),"")</f>
        <v/>
      </c>
      <c r="O13" s="54" t="str">
        <f>IF(AND('Mapa final'!$Y$57="Muy Alta",'Mapa final'!$AA$57="Leve"),CONCATENATE("R8C",'Mapa final'!$O$57),"")</f>
        <v/>
      </c>
      <c r="P13" s="52" t="str">
        <f>IF(AND('Mapa final'!$Y$52="Muy Alta",'Mapa final'!$AA$52="Menor"),CONCATENATE("R8C",'Mapa final'!$O$52),"")</f>
        <v/>
      </c>
      <c r="Q13" s="53" t="str">
        <f>IF(AND('Mapa final'!$Y$53="Muy Alta",'Mapa final'!$AA$53="Menor"),CONCATENATE("R8C",'Mapa final'!$O$53),"")</f>
        <v/>
      </c>
      <c r="R13" s="58" t="str">
        <f>IF(AND('Mapa final'!$Y$54="Muy Alta",'Mapa final'!$AA$54="Menor"),CONCATENATE("R8C",'Mapa final'!$O$54),"")</f>
        <v/>
      </c>
      <c r="S13" s="58" t="str">
        <f>IF(AND('Mapa final'!$Y$55="Muy Alta",'Mapa final'!$AA$55="Menor"),CONCATENATE("R8C",'Mapa final'!$O$55),"")</f>
        <v/>
      </c>
      <c r="T13" s="58" t="str">
        <f>IF(AND('Mapa final'!$Y$56="Muy Alta",'Mapa final'!$AA$56="Menor"),CONCATENATE("R8C",'Mapa final'!$O$56),"")</f>
        <v/>
      </c>
      <c r="U13" s="54" t="str">
        <f>IF(AND('Mapa final'!$Y$57="Muy Alta",'Mapa final'!$AA$57="Menor"),CONCATENATE("R8C",'Mapa final'!$O$57),"")</f>
        <v/>
      </c>
      <c r="V13" s="52" t="str">
        <f>IF(AND('Mapa final'!$Y$52="Muy Alta",'Mapa final'!$AA$52="Moderado"),CONCATENATE("R8C",'Mapa final'!$O$52),"")</f>
        <v/>
      </c>
      <c r="W13" s="53" t="str">
        <f>IF(AND('Mapa final'!$Y$53="Muy Alta",'Mapa final'!$AA$53="Moderado"),CONCATENATE("R8C",'Mapa final'!$O$53),"")</f>
        <v/>
      </c>
      <c r="X13" s="58" t="str">
        <f>IF(AND('Mapa final'!$Y$54="Muy Alta",'Mapa final'!$AA$54="Moderado"),CONCATENATE("R8C",'Mapa final'!$O$54),"")</f>
        <v/>
      </c>
      <c r="Y13" s="58" t="str">
        <f>IF(AND('Mapa final'!$Y$55="Muy Alta",'Mapa final'!$AA$55="Moderado"),CONCATENATE("R8C",'Mapa final'!$O$55),"")</f>
        <v/>
      </c>
      <c r="Z13" s="58" t="str">
        <f>IF(AND('Mapa final'!$Y$56="Muy Alta",'Mapa final'!$AA$56="Moderado"),CONCATENATE("R8C",'Mapa final'!$O$56),"")</f>
        <v/>
      </c>
      <c r="AA13" s="54" t="str">
        <f>IF(AND('Mapa final'!$Y$57="Muy Alta",'Mapa final'!$AA$57="Moderado"),CONCATENATE("R8C",'Mapa final'!$O$57),"")</f>
        <v/>
      </c>
      <c r="AB13" s="52" t="str">
        <f>IF(AND('Mapa final'!$Y$52="Muy Alta",'Mapa final'!$AA$52="Mayor"),CONCATENATE("R8C",'Mapa final'!$O$52),"")</f>
        <v/>
      </c>
      <c r="AC13" s="53" t="str">
        <f>IF(AND('Mapa final'!$Y$53="Muy Alta",'Mapa final'!$AA$53="Mayor"),CONCATENATE("R8C",'Mapa final'!$O$53),"")</f>
        <v/>
      </c>
      <c r="AD13" s="58" t="str">
        <f>IF(AND('Mapa final'!$Y$54="Muy Alta",'Mapa final'!$AA$54="Mayor"),CONCATENATE("R8C",'Mapa final'!$O$54),"")</f>
        <v/>
      </c>
      <c r="AE13" s="58" t="str">
        <f>IF(AND('Mapa final'!$Y$55="Muy Alta",'Mapa final'!$AA$55="Mayor"),CONCATENATE("R8C",'Mapa final'!$O$55),"")</f>
        <v/>
      </c>
      <c r="AF13" s="58" t="str">
        <f>IF(AND('Mapa final'!$Y$56="Muy Alta",'Mapa final'!$AA$56="Mayor"),CONCATENATE("R8C",'Mapa final'!$O$56),"")</f>
        <v/>
      </c>
      <c r="AG13" s="54" t="str">
        <f>IF(AND('Mapa final'!$Y$57="Muy Alta",'Mapa final'!$AA$57="Mayor"),CONCATENATE("R8C",'Mapa final'!$O$57),"")</f>
        <v/>
      </c>
      <c r="AH13" s="55" t="str">
        <f>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4"/>
      <c r="AO13" s="359"/>
      <c r="AP13" s="360"/>
      <c r="AQ13" s="360"/>
      <c r="AR13" s="360"/>
      <c r="AS13" s="360"/>
      <c r="AT13" s="361"/>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251"/>
      <c r="C14" s="251"/>
      <c r="D14" s="252"/>
      <c r="E14" s="352"/>
      <c r="F14" s="353"/>
      <c r="G14" s="353"/>
      <c r="H14" s="353"/>
      <c r="I14" s="368"/>
      <c r="J14" s="52" t="str">
        <f>IF(AND('Mapa final'!$Y$58="Muy Alta",'Mapa final'!$AA$58="Leve"),CONCATENATE("R9C",'Mapa final'!$O$58),"")</f>
        <v/>
      </c>
      <c r="K14" s="53" t="str">
        <f>IF(AND('Mapa final'!$Y$59="Muy Alta",'Mapa final'!$AA$59="Leve"),CONCATENATE("R9C",'Mapa final'!$O$59),"")</f>
        <v/>
      </c>
      <c r="L14" s="58" t="str">
        <f>IF(AND('Mapa final'!$Y$60="Muy Alta",'Mapa final'!$AA$60="Leve"),CONCATENATE("R9C",'Mapa final'!$O$60),"")</f>
        <v/>
      </c>
      <c r="M14" s="58" t="str">
        <f>IF(AND('Mapa final'!$Y$61="Muy Alta",'Mapa final'!$AA$61="Leve"),CONCATENATE("R9C",'Mapa final'!$O$61),"")</f>
        <v/>
      </c>
      <c r="N14" s="58"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8" t="str">
        <f>IF(AND('Mapa final'!$Y$60="Muy Alta",'Mapa final'!$AA$60="Menor"),CONCATENATE("R9C",'Mapa final'!$O$60),"")</f>
        <v/>
      </c>
      <c r="S14" s="58" t="str">
        <f>IF(AND('Mapa final'!$Y$61="Muy Alta",'Mapa final'!$AA$61="Menor"),CONCATENATE("R9C",'Mapa final'!$O$61),"")</f>
        <v/>
      </c>
      <c r="T14" s="58"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8" t="str">
        <f>IF(AND('Mapa final'!$Y$60="Muy Alta",'Mapa final'!$AA$60="Moderado"),CONCATENATE("R9C",'Mapa final'!$O$60),"")</f>
        <v/>
      </c>
      <c r="Y14" s="58" t="str">
        <f>IF(AND('Mapa final'!$Y$61="Muy Alta",'Mapa final'!$AA$61="Moderado"),CONCATENATE("R9C",'Mapa final'!$O$61),"")</f>
        <v/>
      </c>
      <c r="Z14" s="58"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8" t="str">
        <f>IF(AND('Mapa final'!$Y$60="Muy Alta",'Mapa final'!$AA$60="Mayor"),CONCATENATE("R9C",'Mapa final'!$O$60),"")</f>
        <v/>
      </c>
      <c r="AE14" s="58" t="str">
        <f>IF(AND('Mapa final'!$Y$61="Muy Alta",'Mapa final'!$AA$61="Mayor"),CONCATENATE("R9C",'Mapa final'!$O$61),"")</f>
        <v/>
      </c>
      <c r="AF14" s="58"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4"/>
      <c r="AO14" s="359"/>
      <c r="AP14" s="360"/>
      <c r="AQ14" s="360"/>
      <c r="AR14" s="360"/>
      <c r="AS14" s="360"/>
      <c r="AT14" s="361"/>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251"/>
      <c r="C15" s="251"/>
      <c r="D15" s="252"/>
      <c r="E15" s="354"/>
      <c r="F15" s="355"/>
      <c r="G15" s="355"/>
      <c r="H15" s="355"/>
      <c r="I15" s="369"/>
      <c r="J15" s="59" t="str">
        <f>IF(AND('Mapa final'!$Y$64="Muy Alta",'Mapa final'!$AA$64="Leve"),CONCATENATE("R10C",'Mapa final'!$O$64),"")</f>
        <v/>
      </c>
      <c r="K15" s="60" t="str">
        <f>IF(AND('Mapa final'!$Y$65="Muy Alta",'Mapa final'!$AA$65="Leve"),CONCATENATE("R10C",'Mapa final'!$O$65),"")</f>
        <v/>
      </c>
      <c r="L15" s="60" t="str">
        <f>IF(AND('Mapa final'!$Y$66="Muy Alta",'Mapa final'!$AA$66="Leve"),CONCATENATE("R10C",'Mapa final'!$O$66),"")</f>
        <v/>
      </c>
      <c r="M15" s="60" t="str">
        <f>IF(AND('Mapa final'!$Y$67="Muy Alta",'Mapa final'!$AA$67="Leve"),CONCATENATE("R10C",'Mapa final'!$O$67),"")</f>
        <v/>
      </c>
      <c r="N15" s="60" t="str">
        <f>IF(AND('Mapa final'!$Y$68="Muy Alta",'Mapa final'!$AA$68="Leve"),CONCATENATE("R10C",'Mapa final'!$O$68),"")</f>
        <v/>
      </c>
      <c r="O15" s="61"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9" t="str">
        <f>IF(AND('Mapa final'!$Y$64="Muy Alta",'Mapa final'!$AA$64="Moderado"),CONCATENATE("R10C",'Mapa final'!$O$64),"")</f>
        <v/>
      </c>
      <c r="W15" s="60" t="str">
        <f>IF(AND('Mapa final'!$Y$65="Muy Alta",'Mapa final'!$AA$65="Moderado"),CONCATENATE("R10C",'Mapa final'!$O$65),"")</f>
        <v/>
      </c>
      <c r="X15" s="60" t="str">
        <f>IF(AND('Mapa final'!$Y$66="Muy Alta",'Mapa final'!$AA$66="Moderado"),CONCATENATE("R10C",'Mapa final'!$O$66),"")</f>
        <v/>
      </c>
      <c r="Y15" s="60" t="str">
        <f>IF(AND('Mapa final'!$Y$67="Muy Alta",'Mapa final'!$AA$67="Moderado"),CONCATENATE("R10C",'Mapa final'!$O$67),"")</f>
        <v/>
      </c>
      <c r="Z15" s="60" t="str">
        <f>IF(AND('Mapa final'!$Y$68="Muy Alta",'Mapa final'!$AA$68="Moderado"),CONCATENATE("R10C",'Mapa final'!$O$68),"")</f>
        <v/>
      </c>
      <c r="AA15" s="61"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2" t="str">
        <f>IF(AND('Mapa final'!$Y$64="Muy Alta",'Mapa final'!$AA$64="Catastrófico"),CONCATENATE("R10C",'Mapa final'!$O$64),"")</f>
        <v/>
      </c>
      <c r="AI15" s="63" t="str">
        <f>IF(AND('Mapa final'!$Y$65="Muy Alta",'Mapa final'!$AA$65="Catastrófico"),CONCATENATE("R10C",'Mapa final'!$O$65),"")</f>
        <v/>
      </c>
      <c r="AJ15" s="63" t="str">
        <f>IF(AND('Mapa final'!$Y$66="Muy Alta",'Mapa final'!$AA$66="Catastrófico"),CONCATENATE("R10C",'Mapa final'!$O$66),"")</f>
        <v/>
      </c>
      <c r="AK15" s="63" t="str">
        <f>IF(AND('Mapa final'!$Y$67="Muy Alta",'Mapa final'!$AA$67="Catastrófico"),CONCATENATE("R10C",'Mapa final'!$O$67),"")</f>
        <v/>
      </c>
      <c r="AL15" s="63" t="str">
        <f>IF(AND('Mapa final'!$Y$68="Muy Alta",'Mapa final'!$AA$68="Catastrófico"),CONCATENATE("R10C",'Mapa final'!$O$68),"")</f>
        <v/>
      </c>
      <c r="AM15" s="64" t="str">
        <f>IF(AND('Mapa final'!$Y$69="Muy Alta",'Mapa final'!$AA$69="Catastrófico"),CONCATENATE("R10C",'Mapa final'!$O$69),"")</f>
        <v/>
      </c>
      <c r="AN15" s="84"/>
      <c r="AO15" s="362"/>
      <c r="AP15" s="363"/>
      <c r="AQ15" s="363"/>
      <c r="AR15" s="363"/>
      <c r="AS15" s="363"/>
      <c r="AT15" s="36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251"/>
      <c r="C16" s="251"/>
      <c r="D16" s="252"/>
      <c r="E16" s="348" t="s">
        <v>115</v>
      </c>
      <c r="F16" s="349"/>
      <c r="G16" s="349"/>
      <c r="H16" s="349"/>
      <c r="I16" s="349"/>
      <c r="J16" s="65" t="str">
        <f ca="1">IF(AND('Mapa final'!$Y$10="Alta",'Mapa final'!$AA$10="Leve"),CONCATENATE("R1C",'Mapa final'!$O$10),"")</f>
        <v/>
      </c>
      <c r="K16" s="66" t="str">
        <f>IF(AND('Mapa final'!$Y$11="Alta",'Mapa final'!$AA$11="Leve"),CONCATENATE("R1C",'Mapa final'!$O$11),"")</f>
        <v/>
      </c>
      <c r="L16" s="66" t="str">
        <f>IF(AND('Mapa final'!$Y$12="Alta",'Mapa final'!$AA$12="Leve"),CONCATENATE("R1C",'Mapa final'!$O$12),"")</f>
        <v/>
      </c>
      <c r="M16" s="66" t="str">
        <f>IF(AND('Mapa final'!$Y$13="Alta",'Mapa final'!$AA$13="Leve"),CONCATENATE("R1C",'Mapa final'!$O$13),"")</f>
        <v/>
      </c>
      <c r="N16" s="66" t="str">
        <f>IF(AND('Mapa final'!$Y$14="Alta",'Mapa final'!$AA$14="Leve"),CONCATENATE("R1C",'Mapa final'!$O$14),"")</f>
        <v/>
      </c>
      <c r="O16" s="67" t="str">
        <f>IF(AND('Mapa final'!$Y$15="Alta",'Mapa final'!$AA$15="Leve"),CONCATENATE("R1C",'Mapa final'!$O$15),"")</f>
        <v/>
      </c>
      <c r="P16" s="65" t="str">
        <f ca="1">IF(AND('Mapa final'!$Y$10="Alta",'Mapa final'!$AA$10="Menor"),CONCATENATE("R1C",'Mapa final'!$O$10),"")</f>
        <v/>
      </c>
      <c r="Q16" s="66" t="str">
        <f>IF(AND('Mapa final'!$Y$11="Alta",'Mapa final'!$AA$11="Menor"),CONCATENATE("R1C",'Mapa final'!$O$11),"")</f>
        <v/>
      </c>
      <c r="R16" s="66" t="str">
        <f>IF(AND('Mapa final'!$Y$12="Alta",'Mapa final'!$AA$12="Menor"),CONCATENATE("R1C",'Mapa final'!$O$12),"")</f>
        <v/>
      </c>
      <c r="S16" s="66" t="str">
        <f>IF(AND('Mapa final'!$Y$13="Alta",'Mapa final'!$AA$13="Menor"),CONCATENATE("R1C",'Mapa final'!$O$13),"")</f>
        <v/>
      </c>
      <c r="T16" s="66" t="str">
        <f>IF(AND('Mapa final'!$Y$14="Alta",'Mapa final'!$AA$14="Menor"),CONCATENATE("R1C",'Mapa final'!$O$14),"")</f>
        <v/>
      </c>
      <c r="U16" s="67" t="str">
        <f>IF(AND('Mapa final'!$Y$15="Alta",'Mapa final'!$AA$15="Menor"),CONCATENATE("R1C",'Mapa final'!$O$15),"")</f>
        <v/>
      </c>
      <c r="V16" s="46" t="str">
        <f ca="1">IF(AND('Mapa final'!$Y$10="Alta",'Mapa final'!$AA$10="Moderado"),CONCATENATE("R1C",'Mapa final'!$O$10),"")</f>
        <v/>
      </c>
      <c r="W16" s="47" t="str">
        <f>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4"/>
      <c r="AO16" s="339" t="s">
        <v>80</v>
      </c>
      <c r="AP16" s="340"/>
      <c r="AQ16" s="340"/>
      <c r="AR16" s="340"/>
      <c r="AS16" s="340"/>
      <c r="AT16" s="341"/>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251"/>
      <c r="C17" s="251"/>
      <c r="D17" s="252"/>
      <c r="E17" s="350"/>
      <c r="F17" s="351"/>
      <c r="G17" s="351"/>
      <c r="H17" s="351"/>
      <c r="I17" s="351"/>
      <c r="J17" s="68" t="str">
        <f ca="1">IF(AND('Mapa final'!$Y$16="Alta",'Mapa final'!$AA$16="Leve"),CONCATENATE("R2C",'Mapa final'!$O$16),"")</f>
        <v/>
      </c>
      <c r="K17" s="69" t="str">
        <f>IF(AND('Mapa final'!$Y$17="Alta",'Mapa final'!$AA$17="Leve"),CONCATENATE("R2C",'Mapa final'!$O$17),"")</f>
        <v/>
      </c>
      <c r="L17" s="69" t="str">
        <f>IF(AND('Mapa final'!$Y$18="Alta",'Mapa final'!$AA$18="Leve"),CONCATENATE("R2C",'Mapa final'!$O$18),"")</f>
        <v/>
      </c>
      <c r="M17" s="69" t="str">
        <f>IF(AND('Mapa final'!$Y$19="Alta",'Mapa final'!$AA$19="Leve"),CONCATENATE("R2C",'Mapa final'!$O$19),"")</f>
        <v/>
      </c>
      <c r="N17" s="69" t="str">
        <f>IF(AND('Mapa final'!$Y$20="Alta",'Mapa final'!$AA$20="Leve"),CONCATENATE("R2C",'Mapa final'!$O$20),"")</f>
        <v/>
      </c>
      <c r="O17" s="70" t="str">
        <f>IF(AND('Mapa final'!$Y$21="Alta",'Mapa final'!$AA$21="Leve"),CONCATENATE("R2C",'Mapa final'!$O$21),"")</f>
        <v/>
      </c>
      <c r="P17" s="68" t="str">
        <f ca="1">IF(AND('Mapa final'!$Y$16="Alta",'Mapa final'!$AA$16="Menor"),CONCATENATE("R2C",'Mapa final'!$O$16),"")</f>
        <v/>
      </c>
      <c r="Q17" s="69" t="str">
        <f>IF(AND('Mapa final'!$Y$17="Alta",'Mapa final'!$AA$17="Menor"),CONCATENATE("R2C",'Mapa final'!$O$17),"")</f>
        <v/>
      </c>
      <c r="R17" s="69" t="str">
        <f>IF(AND('Mapa final'!$Y$18="Alta",'Mapa final'!$AA$18="Menor"),CONCATENATE("R2C",'Mapa final'!$O$18),"")</f>
        <v/>
      </c>
      <c r="S17" s="69" t="str">
        <f>IF(AND('Mapa final'!$Y$19="Alta",'Mapa final'!$AA$19="Menor"),CONCATENATE("R2C",'Mapa final'!$O$19),"")</f>
        <v/>
      </c>
      <c r="T17" s="69" t="str">
        <f>IF(AND('Mapa final'!$Y$20="Alta",'Mapa final'!$AA$20="Menor"),CONCATENATE("R2C",'Mapa final'!$O$20),"")</f>
        <v/>
      </c>
      <c r="U17" s="70" t="str">
        <f>IF(AND('Mapa final'!$Y$21="Alta",'Mapa final'!$AA$21="Menor"),CONCATENATE("R2C",'Mapa final'!$O$21),"")</f>
        <v/>
      </c>
      <c r="V17" s="52" t="str">
        <f ca="1">IF(AND('Mapa final'!$Y$16="Alta",'Mapa final'!$AA$16="Moderado"),CONCATENATE("R2C",'Mapa final'!$O$16),"")</f>
        <v/>
      </c>
      <c r="W17" s="53" t="str">
        <f>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 ca="1">IF(AND('Mapa final'!$Y$16="Alta",'Mapa final'!$AA$16="Mayor"),CONCATENATE("R2C",'Mapa final'!$O$16),"")</f>
        <v/>
      </c>
      <c r="AC17" s="53" t="str">
        <f>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 ca="1">IF(AND('Mapa final'!$Y$16="Alta",'Mapa final'!$AA$16="Catastrófico"),CONCATENATE("R2C",'Mapa final'!$O$16),"")</f>
        <v/>
      </c>
      <c r="AI17" s="56" t="str">
        <f>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4"/>
      <c r="AO17" s="342"/>
      <c r="AP17" s="343"/>
      <c r="AQ17" s="343"/>
      <c r="AR17" s="343"/>
      <c r="AS17" s="343"/>
      <c r="AT17" s="34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251"/>
      <c r="C18" s="251"/>
      <c r="D18" s="252"/>
      <c r="E18" s="352"/>
      <c r="F18" s="353"/>
      <c r="G18" s="353"/>
      <c r="H18" s="353"/>
      <c r="I18" s="351"/>
      <c r="J18" s="68" t="str">
        <f ca="1">IF(AND('Mapa final'!$Y$22="Alta",'Mapa final'!$AA$22="Leve"),CONCATENATE("R3C",'Mapa final'!$O$22),"")</f>
        <v/>
      </c>
      <c r="K18" s="69" t="str">
        <f>IF(AND('Mapa final'!$Y$23="Alta",'Mapa final'!$AA$23="Leve"),CONCATENATE("R3C",'Mapa final'!$O$23),"")</f>
        <v/>
      </c>
      <c r="L18" s="69" t="str">
        <f>IF(AND('Mapa final'!$Y$24="Alta",'Mapa final'!$AA$24="Leve"),CONCATENATE("R3C",'Mapa final'!$O$24),"")</f>
        <v/>
      </c>
      <c r="M18" s="69" t="str">
        <f>IF(AND('Mapa final'!$Y$25="Alta",'Mapa final'!$AA$25="Leve"),CONCATENATE("R3C",'Mapa final'!$O$25),"")</f>
        <v/>
      </c>
      <c r="N18" s="69" t="str">
        <f>IF(AND('Mapa final'!$Y$26="Alta",'Mapa final'!$AA$26="Leve"),CONCATENATE("R3C",'Mapa final'!$O$26),"")</f>
        <v/>
      </c>
      <c r="O18" s="70" t="str">
        <f>IF(AND('Mapa final'!$Y$27="Alta",'Mapa final'!$AA$27="Leve"),CONCATENATE("R3C",'Mapa final'!$O$27),"")</f>
        <v/>
      </c>
      <c r="P18" s="68" t="str">
        <f ca="1">IF(AND('Mapa final'!$Y$22="Alta",'Mapa final'!$AA$22="Menor"),CONCATENATE("R3C",'Mapa final'!$O$22),"")</f>
        <v/>
      </c>
      <c r="Q18" s="69" t="str">
        <f>IF(AND('Mapa final'!$Y$23="Alta",'Mapa final'!$AA$23="Menor"),CONCATENATE("R3C",'Mapa final'!$O$23),"")</f>
        <v/>
      </c>
      <c r="R18" s="69" t="str">
        <f>IF(AND('Mapa final'!$Y$24="Alta",'Mapa final'!$AA$24="Menor"),CONCATENATE("R3C",'Mapa final'!$O$24),"")</f>
        <v/>
      </c>
      <c r="S18" s="69" t="str">
        <f>IF(AND('Mapa final'!$Y$25="Alta",'Mapa final'!$AA$25="Menor"),CONCATENATE("R3C",'Mapa final'!$O$25),"")</f>
        <v/>
      </c>
      <c r="T18" s="69" t="str">
        <f>IF(AND('Mapa final'!$Y$26="Alta",'Mapa final'!$AA$26="Menor"),CONCATENATE("R3C",'Mapa final'!$O$26),"")</f>
        <v/>
      </c>
      <c r="U18" s="70" t="str">
        <f>IF(AND('Mapa final'!$Y$27="Alta",'Mapa final'!$AA$27="Menor"),CONCATENATE("R3C",'Mapa final'!$O$27),"")</f>
        <v/>
      </c>
      <c r="V18" s="52" t="str">
        <f ca="1">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 ca="1">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 ca="1">IF(AND('Mapa final'!$Y$22="Alta",'Mapa final'!$AA$22="Catastrófico"),CONCATENATE("R3C",'Mapa final'!$O$22),"")</f>
        <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4"/>
      <c r="AO18" s="342"/>
      <c r="AP18" s="343"/>
      <c r="AQ18" s="343"/>
      <c r="AR18" s="343"/>
      <c r="AS18" s="343"/>
      <c r="AT18" s="34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251"/>
      <c r="C19" s="251"/>
      <c r="D19" s="252"/>
      <c r="E19" s="352"/>
      <c r="F19" s="353"/>
      <c r="G19" s="353"/>
      <c r="H19" s="353"/>
      <c r="I19" s="351"/>
      <c r="J19" s="68" t="str">
        <f>IF(AND('Mapa final'!$Y$28="Alta",'Mapa final'!$AA$28="Leve"),CONCATENATE("R4C",'Mapa final'!$O$28),"")</f>
        <v/>
      </c>
      <c r="K19" s="69" t="str">
        <f>IF(AND('Mapa final'!$Y$29="Alta",'Mapa final'!$AA$29="Leve"),CONCATENATE("R4C",'Mapa final'!$O$29),"")</f>
        <v/>
      </c>
      <c r="L19" s="69" t="str">
        <f>IF(AND('Mapa final'!$Y$30="Alta",'Mapa final'!$AA$30="Leve"),CONCATENATE("R4C",'Mapa final'!$O$30),"")</f>
        <v/>
      </c>
      <c r="M19" s="69" t="str">
        <f>IF(AND('Mapa final'!$Y$31="Alta",'Mapa final'!$AA$31="Leve"),CONCATENATE("R4C",'Mapa final'!$O$31),"")</f>
        <v/>
      </c>
      <c r="N19" s="69" t="str">
        <f>IF(AND('Mapa final'!$Y$32="Alta",'Mapa final'!$AA$32="Leve"),CONCATENATE("R4C",'Mapa final'!$O$32),"")</f>
        <v/>
      </c>
      <c r="O19" s="70" t="str">
        <f>IF(AND('Mapa final'!$Y$33="Alta",'Mapa final'!$AA$33="Leve"),CONCATENATE("R4C",'Mapa final'!$O$33),"")</f>
        <v/>
      </c>
      <c r="P19" s="68" t="str">
        <f>IF(AND('Mapa final'!$Y$28="Alta",'Mapa final'!$AA$28="Menor"),CONCATENATE("R4C",'Mapa final'!$O$28),"")</f>
        <v/>
      </c>
      <c r="Q19" s="69" t="str">
        <f>IF(AND('Mapa final'!$Y$29="Alta",'Mapa final'!$AA$29="Menor"),CONCATENATE("R4C",'Mapa final'!$O$29),"")</f>
        <v/>
      </c>
      <c r="R19" s="69" t="str">
        <f>IF(AND('Mapa final'!$Y$30="Alta",'Mapa final'!$AA$30="Menor"),CONCATENATE("R4C",'Mapa final'!$O$30),"")</f>
        <v/>
      </c>
      <c r="S19" s="69" t="str">
        <f>IF(AND('Mapa final'!$Y$31="Alta",'Mapa final'!$AA$31="Menor"),CONCATENATE("R4C",'Mapa final'!$O$31),"")</f>
        <v/>
      </c>
      <c r="T19" s="69" t="str">
        <f>IF(AND('Mapa final'!$Y$32="Alta",'Mapa final'!$AA$32="Menor"),CONCATENATE("R4C",'Mapa final'!$O$32),"")</f>
        <v/>
      </c>
      <c r="U19" s="70" t="str">
        <f>IF(AND('Mapa final'!$Y$33="Alta",'Mapa final'!$AA$33="Menor"),CONCATENATE("R4C",'Mapa final'!$O$33),"")</f>
        <v/>
      </c>
      <c r="V19" s="52" t="str">
        <f>IF(AND('Mapa final'!$Y$28="Alta",'Mapa final'!$AA$28="Moderado"),CONCATENATE("R4C",'Mapa final'!$O$28),"")</f>
        <v/>
      </c>
      <c r="W19" s="53" t="str">
        <f>IF(AND('Mapa final'!$Y$29="Alta",'Mapa final'!$AA$29="Moderado"),CONCATENATE("R4C",'Mapa final'!$O$29),"")</f>
        <v/>
      </c>
      <c r="X19" s="58" t="str">
        <f>IF(AND('Mapa final'!$Y$30="Alta",'Mapa final'!$AA$30="Moderado"),CONCATENATE("R4C",'Mapa final'!$O$30),"")</f>
        <v/>
      </c>
      <c r="Y19" s="58" t="str">
        <f>IF(AND('Mapa final'!$Y$31="Alta",'Mapa final'!$AA$31="Moderado"),CONCATENATE("R4C",'Mapa final'!$O$31),"")</f>
        <v/>
      </c>
      <c r="Z19" s="58" t="str">
        <f>IF(AND('Mapa final'!$Y$32="Alta",'Mapa final'!$AA$32="Moderado"),CONCATENATE("R4C",'Mapa final'!$O$32),"")</f>
        <v/>
      </c>
      <c r="AA19" s="54" t="str">
        <f>IF(AND('Mapa final'!$Y$33="Alta",'Mapa final'!$AA$33="Moderado"),CONCATENATE("R4C",'Mapa final'!$O$33),"")</f>
        <v/>
      </c>
      <c r="AB19" s="52" t="str">
        <f>IF(AND('Mapa final'!$Y$28="Alta",'Mapa final'!$AA$28="Mayor"),CONCATENATE("R4C",'Mapa final'!$O$28),"")</f>
        <v/>
      </c>
      <c r="AC19" s="53" t="str">
        <f>IF(AND('Mapa final'!$Y$29="Alta",'Mapa final'!$AA$29="Mayor"),CONCATENATE("R4C",'Mapa final'!$O$29),"")</f>
        <v/>
      </c>
      <c r="AD19" s="58" t="str">
        <f>IF(AND('Mapa final'!$Y$30="Alta",'Mapa final'!$AA$30="Mayor"),CONCATENATE("R4C",'Mapa final'!$O$30),"")</f>
        <v/>
      </c>
      <c r="AE19" s="58" t="str">
        <f>IF(AND('Mapa final'!$Y$31="Alta",'Mapa final'!$AA$31="Mayor"),CONCATENATE("R4C",'Mapa final'!$O$31),"")</f>
        <v/>
      </c>
      <c r="AF19" s="58" t="str">
        <f>IF(AND('Mapa final'!$Y$32="Alta",'Mapa final'!$AA$32="Mayor"),CONCATENATE("R4C",'Mapa final'!$O$32),"")</f>
        <v/>
      </c>
      <c r="AG19" s="54" t="str">
        <f>IF(AND('Mapa final'!$Y$33="Alta",'Mapa final'!$AA$33="Mayor"),CONCATENATE("R4C",'Mapa final'!$O$33),"")</f>
        <v/>
      </c>
      <c r="AH19" s="55" t="str">
        <f>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4"/>
      <c r="AO19" s="342"/>
      <c r="AP19" s="343"/>
      <c r="AQ19" s="343"/>
      <c r="AR19" s="343"/>
      <c r="AS19" s="343"/>
      <c r="AT19" s="34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251"/>
      <c r="C20" s="251"/>
      <c r="D20" s="252"/>
      <c r="E20" s="352"/>
      <c r="F20" s="353"/>
      <c r="G20" s="353"/>
      <c r="H20" s="353"/>
      <c r="I20" s="351"/>
      <c r="J20" s="68" t="str">
        <f>IF(AND('Mapa final'!$Y$34="Alta",'Mapa final'!$AA$34="Leve"),CONCATENATE("R5C",'Mapa final'!$O$34),"")</f>
        <v/>
      </c>
      <c r="K20" s="69" t="str">
        <f>IF(AND('Mapa final'!$Y$35="Alta",'Mapa final'!$AA$35="Leve"),CONCATENATE("R5C",'Mapa final'!$O$35),"")</f>
        <v/>
      </c>
      <c r="L20" s="69" t="str">
        <f>IF(AND('Mapa final'!$Y$36="Alta",'Mapa final'!$AA$36="Leve"),CONCATENATE("R5C",'Mapa final'!$O$36),"")</f>
        <v/>
      </c>
      <c r="M20" s="69" t="str">
        <f>IF(AND('Mapa final'!$Y$37="Alta",'Mapa final'!$AA$37="Leve"),CONCATENATE("R5C",'Mapa final'!$O$37),"")</f>
        <v/>
      </c>
      <c r="N20" s="69" t="str">
        <f>IF(AND('Mapa final'!$Y$38="Alta",'Mapa final'!$AA$38="Leve"),CONCATENATE("R5C",'Mapa final'!$O$38),"")</f>
        <v/>
      </c>
      <c r="O20" s="70" t="str">
        <f>IF(AND('Mapa final'!$Y$39="Alta",'Mapa final'!$AA$39="Leve"),CONCATENATE("R5C",'Mapa final'!$O$39),"")</f>
        <v/>
      </c>
      <c r="P20" s="68" t="str">
        <f>IF(AND('Mapa final'!$Y$34="Alta",'Mapa final'!$AA$34="Menor"),CONCATENATE("R5C",'Mapa final'!$O$34),"")</f>
        <v/>
      </c>
      <c r="Q20" s="69" t="str">
        <f>IF(AND('Mapa final'!$Y$35="Alta",'Mapa final'!$AA$35="Menor"),CONCATENATE("R5C",'Mapa final'!$O$35),"")</f>
        <v/>
      </c>
      <c r="R20" s="69" t="str">
        <f>IF(AND('Mapa final'!$Y$36="Alta",'Mapa final'!$AA$36="Menor"),CONCATENATE("R5C",'Mapa final'!$O$36),"")</f>
        <v/>
      </c>
      <c r="S20" s="69" t="str">
        <f>IF(AND('Mapa final'!$Y$37="Alta",'Mapa final'!$AA$37="Menor"),CONCATENATE("R5C",'Mapa final'!$O$37),"")</f>
        <v/>
      </c>
      <c r="T20" s="69" t="str">
        <f>IF(AND('Mapa final'!$Y$38="Alta",'Mapa final'!$AA$38="Menor"),CONCATENATE("R5C",'Mapa final'!$O$38),"")</f>
        <v/>
      </c>
      <c r="U20" s="70" t="str">
        <f>IF(AND('Mapa final'!$Y$39="Alta",'Mapa final'!$AA$39="Menor"),CONCATENATE("R5C",'Mapa final'!$O$39),"")</f>
        <v/>
      </c>
      <c r="V20" s="52" t="str">
        <f>IF(AND('Mapa final'!$Y$34="Alta",'Mapa final'!$AA$34="Moderado"),CONCATENATE("R5C",'Mapa final'!$O$34),"")</f>
        <v/>
      </c>
      <c r="W20" s="53" t="str">
        <f>IF(AND('Mapa final'!$Y$35="Alta",'Mapa final'!$AA$35="Moderado"),CONCATENATE("R5C",'Mapa final'!$O$35),"")</f>
        <v/>
      </c>
      <c r="X20" s="58" t="str">
        <f>IF(AND('Mapa final'!$Y$36="Alta",'Mapa final'!$AA$36="Moderado"),CONCATENATE("R5C",'Mapa final'!$O$36),"")</f>
        <v/>
      </c>
      <c r="Y20" s="58" t="str">
        <f>IF(AND('Mapa final'!$Y$37="Alta",'Mapa final'!$AA$37="Moderado"),CONCATENATE("R5C",'Mapa final'!$O$37),"")</f>
        <v/>
      </c>
      <c r="Z20" s="58" t="str">
        <f>IF(AND('Mapa final'!$Y$38="Alta",'Mapa final'!$AA$38="Moderado"),CONCATENATE("R5C",'Mapa final'!$O$38),"")</f>
        <v/>
      </c>
      <c r="AA20" s="54" t="str">
        <f>IF(AND('Mapa final'!$Y$39="Alta",'Mapa final'!$AA$39="Moderado"),CONCATENATE("R5C",'Mapa final'!$O$39),"")</f>
        <v/>
      </c>
      <c r="AB20" s="52" t="str">
        <f>IF(AND('Mapa final'!$Y$34="Alta",'Mapa final'!$AA$34="Mayor"),CONCATENATE("R5C",'Mapa final'!$O$34),"")</f>
        <v/>
      </c>
      <c r="AC20" s="53" t="str">
        <f>IF(AND('Mapa final'!$Y$35="Alta",'Mapa final'!$AA$35="Mayor"),CONCATENATE("R5C",'Mapa final'!$O$35),"")</f>
        <v/>
      </c>
      <c r="AD20" s="58" t="str">
        <f>IF(AND('Mapa final'!$Y$36="Alta",'Mapa final'!$AA$36="Mayor"),CONCATENATE("R5C",'Mapa final'!$O$36),"")</f>
        <v/>
      </c>
      <c r="AE20" s="58" t="str">
        <f>IF(AND('Mapa final'!$Y$37="Alta",'Mapa final'!$AA$37="Mayor"),CONCATENATE("R5C",'Mapa final'!$O$37),"")</f>
        <v/>
      </c>
      <c r="AF20" s="58" t="str">
        <f>IF(AND('Mapa final'!$Y$38="Alta",'Mapa final'!$AA$38="Mayor"),CONCATENATE("R5C",'Mapa final'!$O$38),"")</f>
        <v/>
      </c>
      <c r="AG20" s="54" t="str">
        <f>IF(AND('Mapa final'!$Y$39="Alta",'Mapa final'!$AA$39="Mayor"),CONCATENATE("R5C",'Mapa final'!$O$39),"")</f>
        <v/>
      </c>
      <c r="AH20" s="55" t="str">
        <f>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4"/>
      <c r="AO20" s="342"/>
      <c r="AP20" s="343"/>
      <c r="AQ20" s="343"/>
      <c r="AR20" s="343"/>
      <c r="AS20" s="343"/>
      <c r="AT20" s="34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251"/>
      <c r="C21" s="251"/>
      <c r="D21" s="252"/>
      <c r="E21" s="352"/>
      <c r="F21" s="353"/>
      <c r="G21" s="353"/>
      <c r="H21" s="353"/>
      <c r="I21" s="351"/>
      <c r="J21" s="68" t="str">
        <f>IF(AND('Mapa final'!$Y$40="Alta",'Mapa final'!$AA$40="Leve"),CONCATENATE("R6C",'Mapa final'!$O$40),"")</f>
        <v/>
      </c>
      <c r="K21" s="69" t="str">
        <f>IF(AND('Mapa final'!$Y$41="Alta",'Mapa final'!$AA$41="Leve"),CONCATENATE("R6C",'Mapa final'!$O$41),"")</f>
        <v/>
      </c>
      <c r="L21" s="69" t="str">
        <f>IF(AND('Mapa final'!$Y$42="Alta",'Mapa final'!$AA$42="Leve"),CONCATENATE("R6C",'Mapa final'!$O$42),"")</f>
        <v/>
      </c>
      <c r="M21" s="69" t="str">
        <f>IF(AND('Mapa final'!$Y$43="Alta",'Mapa final'!$AA$43="Leve"),CONCATENATE("R6C",'Mapa final'!$O$43),"")</f>
        <v/>
      </c>
      <c r="N21" s="69" t="str">
        <f>IF(AND('Mapa final'!$Y$44="Alta",'Mapa final'!$AA$44="Leve"),CONCATENATE("R6C",'Mapa final'!$O$44),"")</f>
        <v/>
      </c>
      <c r="O21" s="70" t="str">
        <f>IF(AND('Mapa final'!$Y$45="Alta",'Mapa final'!$AA$45="Leve"),CONCATENATE("R6C",'Mapa final'!$O$45),"")</f>
        <v/>
      </c>
      <c r="P21" s="68" t="str">
        <f>IF(AND('Mapa final'!$Y$40="Alta",'Mapa final'!$AA$40="Menor"),CONCATENATE("R6C",'Mapa final'!$O$40),"")</f>
        <v/>
      </c>
      <c r="Q21" s="69" t="str">
        <f>IF(AND('Mapa final'!$Y$41="Alta",'Mapa final'!$AA$41="Menor"),CONCATENATE("R6C",'Mapa final'!$O$41),"")</f>
        <v/>
      </c>
      <c r="R21" s="69" t="str">
        <f>IF(AND('Mapa final'!$Y$42="Alta",'Mapa final'!$AA$42="Menor"),CONCATENATE("R6C",'Mapa final'!$O$42),"")</f>
        <v/>
      </c>
      <c r="S21" s="69" t="str">
        <f>IF(AND('Mapa final'!$Y$43="Alta",'Mapa final'!$AA$43="Menor"),CONCATENATE("R6C",'Mapa final'!$O$43),"")</f>
        <v/>
      </c>
      <c r="T21" s="69" t="str">
        <f>IF(AND('Mapa final'!$Y$44="Alta",'Mapa final'!$AA$44="Menor"),CONCATENATE("R6C",'Mapa final'!$O$44),"")</f>
        <v/>
      </c>
      <c r="U21" s="70" t="str">
        <f>IF(AND('Mapa final'!$Y$45="Alta",'Mapa final'!$AA$45="Menor"),CONCATENATE("R6C",'Mapa final'!$O$45),"")</f>
        <v/>
      </c>
      <c r="V21" s="52" t="str">
        <f>IF(AND('Mapa final'!$Y$40="Alta",'Mapa final'!$AA$40="Moderado"),CONCATENATE("R6C",'Mapa final'!$O$40),"")</f>
        <v/>
      </c>
      <c r="W21" s="53" t="str">
        <f>IF(AND('Mapa final'!$Y$41="Alta",'Mapa final'!$AA$41="Moderado"),CONCATENATE("R6C",'Mapa final'!$O$41),"")</f>
        <v/>
      </c>
      <c r="X21" s="58" t="str">
        <f>IF(AND('Mapa final'!$Y$42="Alta",'Mapa final'!$AA$42="Moderado"),CONCATENATE("R6C",'Mapa final'!$O$42),"")</f>
        <v/>
      </c>
      <c r="Y21" s="58" t="str">
        <f>IF(AND('Mapa final'!$Y$43="Alta",'Mapa final'!$AA$43="Moderado"),CONCATENATE("R6C",'Mapa final'!$O$43),"")</f>
        <v/>
      </c>
      <c r="Z21" s="58" t="str">
        <f>IF(AND('Mapa final'!$Y$44="Alta",'Mapa final'!$AA$44="Moderado"),CONCATENATE("R6C",'Mapa final'!$O$44),"")</f>
        <v/>
      </c>
      <c r="AA21" s="54" t="str">
        <f>IF(AND('Mapa final'!$Y$45="Alta",'Mapa final'!$AA$45="Moderado"),CONCATENATE("R6C",'Mapa final'!$O$45),"")</f>
        <v/>
      </c>
      <c r="AB21" s="52" t="str">
        <f>IF(AND('Mapa final'!$Y$40="Alta",'Mapa final'!$AA$40="Mayor"),CONCATENATE("R6C",'Mapa final'!$O$40),"")</f>
        <v/>
      </c>
      <c r="AC21" s="53" t="str">
        <f>IF(AND('Mapa final'!$Y$41="Alta",'Mapa final'!$AA$41="Mayor"),CONCATENATE("R6C",'Mapa final'!$O$41),"")</f>
        <v/>
      </c>
      <c r="AD21" s="58" t="str">
        <f>IF(AND('Mapa final'!$Y$42="Alta",'Mapa final'!$AA$42="Mayor"),CONCATENATE("R6C",'Mapa final'!$O$42),"")</f>
        <v/>
      </c>
      <c r="AE21" s="58" t="str">
        <f>IF(AND('Mapa final'!$Y$43="Alta",'Mapa final'!$AA$43="Mayor"),CONCATENATE("R6C",'Mapa final'!$O$43),"")</f>
        <v/>
      </c>
      <c r="AF21" s="58" t="str">
        <f>IF(AND('Mapa final'!$Y$44="Alta",'Mapa final'!$AA$44="Mayor"),CONCATENATE("R6C",'Mapa final'!$O$44),"")</f>
        <v/>
      </c>
      <c r="AG21" s="54" t="str">
        <f>IF(AND('Mapa final'!$Y$45="Alta",'Mapa final'!$AA$45="Mayor"),CONCATENATE("R6C",'Mapa final'!$O$45),"")</f>
        <v/>
      </c>
      <c r="AH21" s="55" t="str">
        <f>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4"/>
      <c r="AO21" s="342"/>
      <c r="AP21" s="343"/>
      <c r="AQ21" s="343"/>
      <c r="AR21" s="343"/>
      <c r="AS21" s="343"/>
      <c r="AT21" s="34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251"/>
      <c r="C22" s="251"/>
      <c r="D22" s="252"/>
      <c r="E22" s="352"/>
      <c r="F22" s="353"/>
      <c r="G22" s="353"/>
      <c r="H22" s="353"/>
      <c r="I22" s="351"/>
      <c r="J22" s="68" t="str">
        <f>IF(AND('Mapa final'!$Y$46="Alta",'Mapa final'!$AA$46="Leve"),CONCATENATE("R7C",'Mapa final'!$O$46),"")</f>
        <v/>
      </c>
      <c r="K22" s="69" t="str">
        <f>IF(AND('Mapa final'!$Y$47="Alta",'Mapa final'!$AA$47="Leve"),CONCATENATE("R7C",'Mapa final'!$O$47),"")</f>
        <v/>
      </c>
      <c r="L22" s="69" t="str">
        <f>IF(AND('Mapa final'!$Y$48="Alta",'Mapa final'!$AA$48="Leve"),CONCATENATE("R7C",'Mapa final'!$O$48),"")</f>
        <v/>
      </c>
      <c r="M22" s="69" t="str">
        <f>IF(AND('Mapa final'!$Y$49="Alta",'Mapa final'!$AA$49="Leve"),CONCATENATE("R7C",'Mapa final'!$O$49),"")</f>
        <v/>
      </c>
      <c r="N22" s="69" t="str">
        <f>IF(AND('Mapa final'!$Y$50="Alta",'Mapa final'!$AA$50="Leve"),CONCATENATE("R7C",'Mapa final'!$O$50),"")</f>
        <v/>
      </c>
      <c r="O22" s="70" t="str">
        <f>IF(AND('Mapa final'!$Y$51="Alta",'Mapa final'!$AA$51="Leve"),CONCATENATE("R7C",'Mapa final'!$O$51),"")</f>
        <v/>
      </c>
      <c r="P22" s="68" t="str">
        <f>IF(AND('Mapa final'!$Y$46="Alta",'Mapa final'!$AA$46="Menor"),CONCATENATE("R7C",'Mapa final'!$O$46),"")</f>
        <v/>
      </c>
      <c r="Q22" s="69" t="str">
        <f>IF(AND('Mapa final'!$Y$47="Alta",'Mapa final'!$AA$47="Menor"),CONCATENATE("R7C",'Mapa final'!$O$47),"")</f>
        <v/>
      </c>
      <c r="R22" s="69" t="str">
        <f>IF(AND('Mapa final'!$Y$48="Alta",'Mapa final'!$AA$48="Menor"),CONCATENATE("R7C",'Mapa final'!$O$48),"")</f>
        <v/>
      </c>
      <c r="S22" s="69" t="str">
        <f>IF(AND('Mapa final'!$Y$49="Alta",'Mapa final'!$AA$49="Menor"),CONCATENATE("R7C",'Mapa final'!$O$49),"")</f>
        <v/>
      </c>
      <c r="T22" s="69" t="str">
        <f>IF(AND('Mapa final'!$Y$50="Alta",'Mapa final'!$AA$50="Menor"),CONCATENATE("R7C",'Mapa final'!$O$50),"")</f>
        <v/>
      </c>
      <c r="U22" s="70" t="str">
        <f>IF(AND('Mapa final'!$Y$51="Alta",'Mapa final'!$AA$51="Menor"),CONCATENATE("R7C",'Mapa final'!$O$51),"")</f>
        <v/>
      </c>
      <c r="V22" s="52" t="str">
        <f>IF(AND('Mapa final'!$Y$46="Alta",'Mapa final'!$AA$46="Moderado"),CONCATENATE("R7C",'Mapa final'!$O$46),"")</f>
        <v/>
      </c>
      <c r="W22" s="53" t="str">
        <f>IF(AND('Mapa final'!$Y$47="Alta",'Mapa final'!$AA$47="Moderado"),CONCATENATE("R7C",'Mapa final'!$O$47),"")</f>
        <v/>
      </c>
      <c r="X22" s="58" t="str">
        <f>IF(AND('Mapa final'!$Y$48="Alta",'Mapa final'!$AA$48="Moderado"),CONCATENATE("R7C",'Mapa final'!$O$48),"")</f>
        <v/>
      </c>
      <c r="Y22" s="58" t="str">
        <f>IF(AND('Mapa final'!$Y$49="Alta",'Mapa final'!$AA$49="Moderado"),CONCATENATE("R7C",'Mapa final'!$O$49),"")</f>
        <v/>
      </c>
      <c r="Z22" s="58" t="str">
        <f>IF(AND('Mapa final'!$Y$50="Alta",'Mapa final'!$AA$50="Moderado"),CONCATENATE("R7C",'Mapa final'!$O$50),"")</f>
        <v/>
      </c>
      <c r="AA22" s="54" t="str">
        <f>IF(AND('Mapa final'!$Y$51="Alta",'Mapa final'!$AA$51="Moderado"),CONCATENATE("R7C",'Mapa final'!$O$51),"")</f>
        <v/>
      </c>
      <c r="AB22" s="52" t="str">
        <f>IF(AND('Mapa final'!$Y$46="Alta",'Mapa final'!$AA$46="Mayor"),CONCATENATE("R7C",'Mapa final'!$O$46),"")</f>
        <v/>
      </c>
      <c r="AC22" s="53" t="str">
        <f>IF(AND('Mapa final'!$Y$47="Alta",'Mapa final'!$AA$47="Mayor"),CONCATENATE("R7C",'Mapa final'!$O$47),"")</f>
        <v/>
      </c>
      <c r="AD22" s="58" t="str">
        <f>IF(AND('Mapa final'!$Y$48="Alta",'Mapa final'!$AA$48="Mayor"),CONCATENATE("R7C",'Mapa final'!$O$48),"")</f>
        <v/>
      </c>
      <c r="AE22" s="58" t="str">
        <f>IF(AND('Mapa final'!$Y$49="Alta",'Mapa final'!$AA$49="Mayor"),CONCATENATE("R7C",'Mapa final'!$O$49),"")</f>
        <v/>
      </c>
      <c r="AF22" s="58" t="str">
        <f>IF(AND('Mapa final'!$Y$50="Alta",'Mapa final'!$AA$50="Mayor"),CONCATENATE("R7C",'Mapa final'!$O$50),"")</f>
        <v/>
      </c>
      <c r="AG22" s="54" t="str">
        <f>IF(AND('Mapa final'!$Y$51="Alta",'Mapa final'!$AA$51="Mayor"),CONCATENATE("R7C",'Mapa final'!$O$51),"")</f>
        <v/>
      </c>
      <c r="AH22" s="55" t="str">
        <f>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4"/>
      <c r="AO22" s="342"/>
      <c r="AP22" s="343"/>
      <c r="AQ22" s="343"/>
      <c r="AR22" s="343"/>
      <c r="AS22" s="343"/>
      <c r="AT22" s="34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251"/>
      <c r="C23" s="251"/>
      <c r="D23" s="252"/>
      <c r="E23" s="352"/>
      <c r="F23" s="353"/>
      <c r="G23" s="353"/>
      <c r="H23" s="353"/>
      <c r="I23" s="351"/>
      <c r="J23" s="68" t="str">
        <f>IF(AND('Mapa final'!$Y$52="Alta",'Mapa final'!$AA$52="Leve"),CONCATENATE("R8C",'Mapa final'!$O$52),"")</f>
        <v/>
      </c>
      <c r="K23" s="69" t="str">
        <f>IF(AND('Mapa final'!$Y$53="Alta",'Mapa final'!$AA$53="Leve"),CONCATENATE("R8C",'Mapa final'!$O$53),"")</f>
        <v/>
      </c>
      <c r="L23" s="69" t="str">
        <f>IF(AND('Mapa final'!$Y$54="Alta",'Mapa final'!$AA$54="Leve"),CONCATENATE("R8C",'Mapa final'!$O$54),"")</f>
        <v/>
      </c>
      <c r="M23" s="69" t="str">
        <f>IF(AND('Mapa final'!$Y$55="Alta",'Mapa final'!$AA$55="Leve"),CONCATENATE("R8C",'Mapa final'!$O$55),"")</f>
        <v/>
      </c>
      <c r="N23" s="69" t="str">
        <f>IF(AND('Mapa final'!$Y$56="Alta",'Mapa final'!$AA$56="Leve"),CONCATENATE("R8C",'Mapa final'!$O$56),"")</f>
        <v/>
      </c>
      <c r="O23" s="70" t="str">
        <f>IF(AND('Mapa final'!$Y$57="Alta",'Mapa final'!$AA$57="Leve"),CONCATENATE("R8C",'Mapa final'!$O$57),"")</f>
        <v/>
      </c>
      <c r="P23" s="68" t="str">
        <f>IF(AND('Mapa final'!$Y$52="Alta",'Mapa final'!$AA$52="Menor"),CONCATENATE("R8C",'Mapa final'!$O$52),"")</f>
        <v/>
      </c>
      <c r="Q23" s="69" t="str">
        <f>IF(AND('Mapa final'!$Y$53="Alta",'Mapa final'!$AA$53="Menor"),CONCATENATE("R8C",'Mapa final'!$O$53),"")</f>
        <v/>
      </c>
      <c r="R23" s="69" t="str">
        <f>IF(AND('Mapa final'!$Y$54="Alta",'Mapa final'!$AA$54="Menor"),CONCATENATE("R8C",'Mapa final'!$O$54),"")</f>
        <v/>
      </c>
      <c r="S23" s="69" t="str">
        <f>IF(AND('Mapa final'!$Y$55="Alta",'Mapa final'!$AA$55="Menor"),CONCATENATE("R8C",'Mapa final'!$O$55),"")</f>
        <v/>
      </c>
      <c r="T23" s="69" t="str">
        <f>IF(AND('Mapa final'!$Y$56="Alta",'Mapa final'!$AA$56="Menor"),CONCATENATE("R8C",'Mapa final'!$O$56),"")</f>
        <v/>
      </c>
      <c r="U23" s="70" t="str">
        <f>IF(AND('Mapa final'!$Y$57="Alta",'Mapa final'!$AA$57="Menor"),CONCATENATE("R8C",'Mapa final'!$O$57),"")</f>
        <v/>
      </c>
      <c r="V23" s="52" t="str">
        <f>IF(AND('Mapa final'!$Y$52="Alta",'Mapa final'!$AA$52="Moderado"),CONCATENATE("R8C",'Mapa final'!$O$52),"")</f>
        <v/>
      </c>
      <c r="W23" s="53" t="str">
        <f>IF(AND('Mapa final'!$Y$53="Alta",'Mapa final'!$AA$53="Moderado"),CONCATENATE("R8C",'Mapa final'!$O$53),"")</f>
        <v/>
      </c>
      <c r="X23" s="58" t="str">
        <f>IF(AND('Mapa final'!$Y$54="Alta",'Mapa final'!$AA$54="Moderado"),CONCATENATE("R8C",'Mapa final'!$O$54),"")</f>
        <v/>
      </c>
      <c r="Y23" s="58" t="str">
        <f>IF(AND('Mapa final'!$Y$55="Alta",'Mapa final'!$AA$55="Moderado"),CONCATENATE("R8C",'Mapa final'!$O$55),"")</f>
        <v/>
      </c>
      <c r="Z23" s="58" t="str">
        <f>IF(AND('Mapa final'!$Y$56="Alta",'Mapa final'!$AA$56="Moderado"),CONCATENATE("R8C",'Mapa final'!$O$56),"")</f>
        <v/>
      </c>
      <c r="AA23" s="54" t="str">
        <f>IF(AND('Mapa final'!$Y$57="Alta",'Mapa final'!$AA$57="Moderado"),CONCATENATE("R8C",'Mapa final'!$O$57),"")</f>
        <v/>
      </c>
      <c r="AB23" s="52" t="str">
        <f>IF(AND('Mapa final'!$Y$52="Alta",'Mapa final'!$AA$52="Mayor"),CONCATENATE("R8C",'Mapa final'!$O$52),"")</f>
        <v/>
      </c>
      <c r="AC23" s="53" t="str">
        <f>IF(AND('Mapa final'!$Y$53="Alta",'Mapa final'!$AA$53="Mayor"),CONCATENATE("R8C",'Mapa final'!$O$53),"")</f>
        <v/>
      </c>
      <c r="AD23" s="58" t="str">
        <f>IF(AND('Mapa final'!$Y$54="Alta",'Mapa final'!$AA$54="Mayor"),CONCATENATE("R8C",'Mapa final'!$O$54),"")</f>
        <v/>
      </c>
      <c r="AE23" s="58" t="str">
        <f>IF(AND('Mapa final'!$Y$55="Alta",'Mapa final'!$AA$55="Mayor"),CONCATENATE("R8C",'Mapa final'!$O$55),"")</f>
        <v/>
      </c>
      <c r="AF23" s="58" t="str">
        <f>IF(AND('Mapa final'!$Y$56="Alta",'Mapa final'!$AA$56="Mayor"),CONCATENATE("R8C",'Mapa final'!$O$56),"")</f>
        <v/>
      </c>
      <c r="AG23" s="54" t="str">
        <f>IF(AND('Mapa final'!$Y$57="Alta",'Mapa final'!$AA$57="Mayor"),CONCATENATE("R8C",'Mapa final'!$O$57),"")</f>
        <v/>
      </c>
      <c r="AH23" s="55" t="str">
        <f>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4"/>
      <c r="AO23" s="342"/>
      <c r="AP23" s="343"/>
      <c r="AQ23" s="343"/>
      <c r="AR23" s="343"/>
      <c r="AS23" s="343"/>
      <c r="AT23" s="34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251"/>
      <c r="C24" s="251"/>
      <c r="D24" s="252"/>
      <c r="E24" s="352"/>
      <c r="F24" s="353"/>
      <c r="G24" s="353"/>
      <c r="H24" s="353"/>
      <c r="I24" s="351"/>
      <c r="J24" s="68" t="str">
        <f>IF(AND('Mapa final'!$Y$58="Alta",'Mapa final'!$AA$58="Leve"),CONCATENATE("R9C",'Mapa final'!$O$58),"")</f>
        <v/>
      </c>
      <c r="K24" s="69" t="str">
        <f>IF(AND('Mapa final'!$Y$59="Alta",'Mapa final'!$AA$59="Leve"),CONCATENATE("R9C",'Mapa final'!$O$59),"")</f>
        <v/>
      </c>
      <c r="L24" s="69" t="str">
        <f>IF(AND('Mapa final'!$Y$60="Alta",'Mapa final'!$AA$60="Leve"),CONCATENATE("R9C",'Mapa final'!$O$60),"")</f>
        <v/>
      </c>
      <c r="M24" s="69" t="str">
        <f>IF(AND('Mapa final'!$Y$61="Alta",'Mapa final'!$AA$61="Leve"),CONCATENATE("R9C",'Mapa final'!$O$61),"")</f>
        <v/>
      </c>
      <c r="N24" s="69" t="str">
        <f>IF(AND('Mapa final'!$Y$62="Alta",'Mapa final'!$AA$62="Leve"),CONCATENATE("R9C",'Mapa final'!$O$62),"")</f>
        <v/>
      </c>
      <c r="O24" s="70" t="str">
        <f>IF(AND('Mapa final'!$Y$63="Alta",'Mapa final'!$AA$63="Leve"),CONCATENATE("R9C",'Mapa final'!$O$63),"")</f>
        <v/>
      </c>
      <c r="P24" s="68" t="str">
        <f>IF(AND('Mapa final'!$Y$58="Alta",'Mapa final'!$AA$58="Menor"),CONCATENATE("R9C",'Mapa final'!$O$58),"")</f>
        <v/>
      </c>
      <c r="Q24" s="69" t="str">
        <f>IF(AND('Mapa final'!$Y$59="Alta",'Mapa final'!$AA$59="Menor"),CONCATENATE("R9C",'Mapa final'!$O$59),"")</f>
        <v/>
      </c>
      <c r="R24" s="69" t="str">
        <f>IF(AND('Mapa final'!$Y$60="Alta",'Mapa final'!$AA$60="Menor"),CONCATENATE("R9C",'Mapa final'!$O$60),"")</f>
        <v/>
      </c>
      <c r="S24" s="69" t="str">
        <f>IF(AND('Mapa final'!$Y$61="Alta",'Mapa final'!$AA$61="Menor"),CONCATENATE("R9C",'Mapa final'!$O$61),"")</f>
        <v/>
      </c>
      <c r="T24" s="69" t="str">
        <f>IF(AND('Mapa final'!$Y$62="Alta",'Mapa final'!$AA$62="Menor"),CONCATENATE("R9C",'Mapa final'!$O$62),"")</f>
        <v/>
      </c>
      <c r="U24" s="70" t="str">
        <f>IF(AND('Mapa final'!$Y$63="Alta",'Mapa final'!$AA$63="Menor"),CONCATENATE("R9C",'Mapa final'!$O$63),"")</f>
        <v/>
      </c>
      <c r="V24" s="52" t="str">
        <f>IF(AND('Mapa final'!$Y$58="Alta",'Mapa final'!$AA$58="Moderado"),CONCATENATE("R9C",'Mapa final'!$O$58),"")</f>
        <v/>
      </c>
      <c r="W24" s="53" t="str">
        <f>IF(AND('Mapa final'!$Y$59="Alta",'Mapa final'!$AA$59="Moderado"),CONCATENATE("R9C",'Mapa final'!$O$59),"")</f>
        <v/>
      </c>
      <c r="X24" s="58" t="str">
        <f>IF(AND('Mapa final'!$Y$60="Alta",'Mapa final'!$AA$60="Moderado"),CONCATENATE("R9C",'Mapa final'!$O$60),"")</f>
        <v/>
      </c>
      <c r="Y24" s="58" t="str">
        <f>IF(AND('Mapa final'!$Y$61="Alta",'Mapa final'!$AA$61="Moderado"),CONCATENATE("R9C",'Mapa final'!$O$61),"")</f>
        <v/>
      </c>
      <c r="Z24" s="58"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8" t="str">
        <f>IF(AND('Mapa final'!$Y$60="Alta",'Mapa final'!$AA$60="Mayor"),CONCATENATE("R9C",'Mapa final'!$O$60),"")</f>
        <v/>
      </c>
      <c r="AE24" s="58" t="str">
        <f>IF(AND('Mapa final'!$Y$61="Alta",'Mapa final'!$AA$61="Mayor"),CONCATENATE("R9C",'Mapa final'!$O$61),"")</f>
        <v/>
      </c>
      <c r="AF24" s="58"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4"/>
      <c r="AO24" s="342"/>
      <c r="AP24" s="343"/>
      <c r="AQ24" s="343"/>
      <c r="AR24" s="343"/>
      <c r="AS24" s="343"/>
      <c r="AT24" s="34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251"/>
      <c r="C25" s="251"/>
      <c r="D25" s="252"/>
      <c r="E25" s="354"/>
      <c r="F25" s="355"/>
      <c r="G25" s="355"/>
      <c r="H25" s="355"/>
      <c r="I25" s="355"/>
      <c r="J25" s="71" t="str">
        <f>IF(AND('Mapa final'!$Y$64="Alta",'Mapa final'!$AA$64="Leve"),CONCATENATE("R10C",'Mapa final'!$O$64),"")</f>
        <v/>
      </c>
      <c r="K25" s="72" t="str">
        <f>IF(AND('Mapa final'!$Y$65="Alta",'Mapa final'!$AA$65="Leve"),CONCATENATE("R10C",'Mapa final'!$O$65),"")</f>
        <v/>
      </c>
      <c r="L25" s="72" t="str">
        <f>IF(AND('Mapa final'!$Y$66="Alta",'Mapa final'!$AA$66="Leve"),CONCATENATE("R10C",'Mapa final'!$O$66),"")</f>
        <v/>
      </c>
      <c r="M25" s="72" t="str">
        <f>IF(AND('Mapa final'!$Y$67="Alta",'Mapa final'!$AA$67="Leve"),CONCATENATE("R10C",'Mapa final'!$O$67),"")</f>
        <v/>
      </c>
      <c r="N25" s="72" t="str">
        <f>IF(AND('Mapa final'!$Y$68="Alta",'Mapa final'!$AA$68="Leve"),CONCATENATE("R10C",'Mapa final'!$O$68),"")</f>
        <v/>
      </c>
      <c r="O25" s="73" t="str">
        <f>IF(AND('Mapa final'!$Y$69="Alta",'Mapa final'!$AA$69="Leve"),CONCATENATE("R10C",'Mapa final'!$O$69),"")</f>
        <v/>
      </c>
      <c r="P25" s="71" t="str">
        <f>IF(AND('Mapa final'!$Y$64="Alta",'Mapa final'!$AA$64="Menor"),CONCATENATE("R10C",'Mapa final'!$O$64),"")</f>
        <v/>
      </c>
      <c r="Q25" s="72" t="str">
        <f>IF(AND('Mapa final'!$Y$65="Alta",'Mapa final'!$AA$65="Menor"),CONCATENATE("R10C",'Mapa final'!$O$65),"")</f>
        <v/>
      </c>
      <c r="R25" s="72" t="str">
        <f>IF(AND('Mapa final'!$Y$66="Alta",'Mapa final'!$AA$66="Menor"),CONCATENATE("R10C",'Mapa final'!$O$66),"")</f>
        <v/>
      </c>
      <c r="S25" s="72" t="str">
        <f>IF(AND('Mapa final'!$Y$67="Alta",'Mapa final'!$AA$67="Menor"),CONCATENATE("R10C",'Mapa final'!$O$67),"")</f>
        <v/>
      </c>
      <c r="T25" s="72" t="str">
        <f>IF(AND('Mapa final'!$Y$68="Alta",'Mapa final'!$AA$68="Menor"),CONCATENATE("R10C",'Mapa final'!$O$68),"")</f>
        <v/>
      </c>
      <c r="U25" s="73" t="str">
        <f>IF(AND('Mapa final'!$Y$69="Alta",'Mapa final'!$AA$69="Menor"),CONCATENATE("R10C",'Mapa final'!$O$69),"")</f>
        <v/>
      </c>
      <c r="V25" s="59" t="str">
        <f>IF(AND('Mapa final'!$Y$64="Alta",'Mapa final'!$AA$64="Moderado"),CONCATENATE("R10C",'Mapa final'!$O$64),"")</f>
        <v/>
      </c>
      <c r="W25" s="60" t="str">
        <f>IF(AND('Mapa final'!$Y$65="Alta",'Mapa final'!$AA$65="Moderado"),CONCATENATE("R10C",'Mapa final'!$O$65),"")</f>
        <v/>
      </c>
      <c r="X25" s="60" t="str">
        <f>IF(AND('Mapa final'!$Y$66="Alta",'Mapa final'!$AA$66="Moderado"),CONCATENATE("R10C",'Mapa final'!$O$66),"")</f>
        <v/>
      </c>
      <c r="Y25" s="60" t="str">
        <f>IF(AND('Mapa final'!$Y$67="Alta",'Mapa final'!$AA$67="Moderado"),CONCATENATE("R10C",'Mapa final'!$O$67),"")</f>
        <v/>
      </c>
      <c r="Z25" s="60" t="str">
        <f>IF(AND('Mapa final'!$Y$68="Alta",'Mapa final'!$AA$68="Moderado"),CONCATENATE("R10C",'Mapa final'!$O$68),"")</f>
        <v/>
      </c>
      <c r="AA25" s="61" t="str">
        <f>IF(AND('Mapa final'!$Y$69="Alta",'Mapa final'!$AA$69="Moderado"),CONCATENATE("R10C",'Mapa final'!$O$69),"")</f>
        <v/>
      </c>
      <c r="AB25" s="59" t="str">
        <f>IF(AND('Mapa final'!$Y$64="Alta",'Mapa final'!$AA$64="Mayor"),CONCATENATE("R10C",'Mapa final'!$O$64),"")</f>
        <v/>
      </c>
      <c r="AC25" s="60" t="str">
        <f>IF(AND('Mapa final'!$Y$65="Alta",'Mapa final'!$AA$65="Mayor"),CONCATENATE("R10C",'Mapa final'!$O$65),"")</f>
        <v/>
      </c>
      <c r="AD25" s="60" t="str">
        <f>IF(AND('Mapa final'!$Y$66="Alta",'Mapa final'!$AA$66="Mayor"),CONCATENATE("R10C",'Mapa final'!$O$66),"")</f>
        <v/>
      </c>
      <c r="AE25" s="60" t="str">
        <f>IF(AND('Mapa final'!$Y$67="Alta",'Mapa final'!$AA$67="Mayor"),CONCATENATE("R10C",'Mapa final'!$O$67),"")</f>
        <v/>
      </c>
      <c r="AF25" s="60" t="str">
        <f>IF(AND('Mapa final'!$Y$68="Alta",'Mapa final'!$AA$68="Mayor"),CONCATENATE("R10C",'Mapa final'!$O$68),"")</f>
        <v/>
      </c>
      <c r="AG25" s="61" t="str">
        <f>IF(AND('Mapa final'!$Y$69="Alta",'Mapa final'!$AA$69="Mayor"),CONCATENATE("R10C",'Mapa final'!$O$69),"")</f>
        <v/>
      </c>
      <c r="AH25" s="62" t="str">
        <f>IF(AND('Mapa final'!$Y$64="Alta",'Mapa final'!$AA$64="Catastrófico"),CONCATENATE("R10C",'Mapa final'!$O$64),"")</f>
        <v/>
      </c>
      <c r="AI25" s="63" t="str">
        <f>IF(AND('Mapa final'!$Y$65="Alta",'Mapa final'!$AA$65="Catastrófico"),CONCATENATE("R10C",'Mapa final'!$O$65),"")</f>
        <v/>
      </c>
      <c r="AJ25" s="63" t="str">
        <f>IF(AND('Mapa final'!$Y$66="Alta",'Mapa final'!$AA$66="Catastrófico"),CONCATENATE("R10C",'Mapa final'!$O$66),"")</f>
        <v/>
      </c>
      <c r="AK25" s="63" t="str">
        <f>IF(AND('Mapa final'!$Y$67="Alta",'Mapa final'!$AA$67="Catastrófico"),CONCATENATE("R10C",'Mapa final'!$O$67),"")</f>
        <v/>
      </c>
      <c r="AL25" s="63" t="str">
        <f>IF(AND('Mapa final'!$Y$68="Alta",'Mapa final'!$AA$68="Catastrófico"),CONCATENATE("R10C",'Mapa final'!$O$68),"")</f>
        <v/>
      </c>
      <c r="AM25" s="64" t="str">
        <f>IF(AND('Mapa final'!$Y$69="Alta",'Mapa final'!$AA$69="Catastrófico"),CONCATENATE("R10C",'Mapa final'!$O$69),"")</f>
        <v/>
      </c>
      <c r="AN25" s="84"/>
      <c r="AO25" s="345"/>
      <c r="AP25" s="346"/>
      <c r="AQ25" s="346"/>
      <c r="AR25" s="346"/>
      <c r="AS25" s="346"/>
      <c r="AT25" s="347"/>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251"/>
      <c r="C26" s="251"/>
      <c r="D26" s="252"/>
      <c r="E26" s="348" t="s">
        <v>117</v>
      </c>
      <c r="F26" s="349"/>
      <c r="G26" s="349"/>
      <c r="H26" s="349"/>
      <c r="I26" s="367"/>
      <c r="J26" s="65" t="str">
        <f ca="1">IF(AND('Mapa final'!$Y$10="Media",'Mapa final'!$AA$10="Leve"),CONCATENATE("R1C",'Mapa final'!$O$10),"")</f>
        <v/>
      </c>
      <c r="K26" s="66" t="str">
        <f>IF(AND('Mapa final'!$Y$11="Media",'Mapa final'!$AA$11="Leve"),CONCATENATE("R1C",'Mapa final'!$O$11),"")</f>
        <v/>
      </c>
      <c r="L26" s="66" t="str">
        <f>IF(AND('Mapa final'!$Y$12="Media",'Mapa final'!$AA$12="Leve"),CONCATENATE("R1C",'Mapa final'!$O$12),"")</f>
        <v/>
      </c>
      <c r="M26" s="66" t="str">
        <f>IF(AND('Mapa final'!$Y$13="Media",'Mapa final'!$AA$13="Leve"),CONCATENATE("R1C",'Mapa final'!$O$13),"")</f>
        <v/>
      </c>
      <c r="N26" s="66" t="str">
        <f>IF(AND('Mapa final'!$Y$14="Media",'Mapa final'!$AA$14="Leve"),CONCATENATE("R1C",'Mapa final'!$O$14),"")</f>
        <v/>
      </c>
      <c r="O26" s="67" t="str">
        <f>IF(AND('Mapa final'!$Y$15="Media",'Mapa final'!$AA$15="Leve"),CONCATENATE("R1C",'Mapa final'!$O$15),"")</f>
        <v/>
      </c>
      <c r="P26" s="65" t="str">
        <f ca="1">IF(AND('Mapa final'!$Y$10="Media",'Mapa final'!$AA$10="Menor"),CONCATENATE("R1C",'Mapa final'!$O$10),"")</f>
        <v/>
      </c>
      <c r="Q26" s="66" t="str">
        <f>IF(AND('Mapa final'!$Y$11="Media",'Mapa final'!$AA$11="Menor"),CONCATENATE("R1C",'Mapa final'!$O$11),"")</f>
        <v/>
      </c>
      <c r="R26" s="66" t="str">
        <f>IF(AND('Mapa final'!$Y$12="Media",'Mapa final'!$AA$12="Menor"),CONCATENATE("R1C",'Mapa final'!$O$12),"")</f>
        <v/>
      </c>
      <c r="S26" s="66" t="str">
        <f>IF(AND('Mapa final'!$Y$13="Media",'Mapa final'!$AA$13="Menor"),CONCATENATE("R1C",'Mapa final'!$O$13),"")</f>
        <v/>
      </c>
      <c r="T26" s="66" t="str">
        <f>IF(AND('Mapa final'!$Y$14="Media",'Mapa final'!$AA$14="Menor"),CONCATENATE("R1C",'Mapa final'!$O$14),"")</f>
        <v/>
      </c>
      <c r="U26" s="67" t="str">
        <f>IF(AND('Mapa final'!$Y$15="Media",'Mapa final'!$AA$15="Menor"),CONCATENATE("R1C",'Mapa final'!$O$15),"")</f>
        <v/>
      </c>
      <c r="V26" s="65" t="str">
        <f ca="1">IF(AND('Mapa final'!$Y$10="Media",'Mapa final'!$AA$10="Moderado"),CONCATENATE("R1C",'Mapa final'!$O$10),"")</f>
        <v/>
      </c>
      <c r="W26" s="66" t="str">
        <f>IF(AND('Mapa final'!$Y$11="Media",'Mapa final'!$AA$11="Moderado"),CONCATENATE("R1C",'Mapa final'!$O$11),"")</f>
        <v/>
      </c>
      <c r="X26" s="66" t="str">
        <f>IF(AND('Mapa final'!$Y$12="Media",'Mapa final'!$AA$12="Moderado"),CONCATENATE("R1C",'Mapa final'!$O$12),"")</f>
        <v/>
      </c>
      <c r="Y26" s="66" t="str">
        <f>IF(AND('Mapa final'!$Y$13="Media",'Mapa final'!$AA$13="Moderado"),CONCATENATE("R1C",'Mapa final'!$O$13),"")</f>
        <v/>
      </c>
      <c r="Z26" s="66" t="str">
        <f>IF(AND('Mapa final'!$Y$14="Media",'Mapa final'!$AA$14="Moderado"),CONCATENATE("R1C",'Mapa final'!$O$14),"")</f>
        <v/>
      </c>
      <c r="AA26" s="67" t="str">
        <f>IF(AND('Mapa final'!$Y$15="Media",'Mapa final'!$AA$15="Moderado"),CONCATENATE("R1C",'Mapa final'!$O$15),"")</f>
        <v/>
      </c>
      <c r="AB26" s="46" t="str">
        <f ca="1">IF(AND('Mapa final'!$Y$10="Media",'Mapa final'!$AA$10="Mayor"),CONCATENATE("R1C",'Mapa final'!$O$10),"")</f>
        <v/>
      </c>
      <c r="AC26" s="47" t="str">
        <f>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4"/>
      <c r="AO26" s="379" t="s">
        <v>81</v>
      </c>
      <c r="AP26" s="380"/>
      <c r="AQ26" s="380"/>
      <c r="AR26" s="380"/>
      <c r="AS26" s="380"/>
      <c r="AT26" s="381"/>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251"/>
      <c r="C27" s="251"/>
      <c r="D27" s="252"/>
      <c r="E27" s="350"/>
      <c r="F27" s="351"/>
      <c r="G27" s="351"/>
      <c r="H27" s="351"/>
      <c r="I27" s="368"/>
      <c r="J27" s="68" t="str">
        <f ca="1">IF(AND('Mapa final'!$Y$16="Media",'Mapa final'!$AA$16="Leve"),CONCATENATE("R2C",'Mapa final'!$O$16),"")</f>
        <v/>
      </c>
      <c r="K27" s="69" t="str">
        <f>IF(AND('Mapa final'!$Y$17="Media",'Mapa final'!$AA$17="Leve"),CONCATENATE("R2C",'Mapa final'!$O$17),"")</f>
        <v/>
      </c>
      <c r="L27" s="69" t="str">
        <f>IF(AND('Mapa final'!$Y$18="Media",'Mapa final'!$AA$18="Leve"),CONCATENATE("R2C",'Mapa final'!$O$18),"")</f>
        <v/>
      </c>
      <c r="M27" s="69" t="str">
        <f>IF(AND('Mapa final'!$Y$19="Media",'Mapa final'!$AA$19="Leve"),CONCATENATE("R2C",'Mapa final'!$O$19),"")</f>
        <v/>
      </c>
      <c r="N27" s="69" t="str">
        <f>IF(AND('Mapa final'!$Y$20="Media",'Mapa final'!$AA$20="Leve"),CONCATENATE("R2C",'Mapa final'!$O$20),"")</f>
        <v/>
      </c>
      <c r="O27" s="70" t="str">
        <f>IF(AND('Mapa final'!$Y$21="Media",'Mapa final'!$AA$21="Leve"),CONCATENATE("R2C",'Mapa final'!$O$21),"")</f>
        <v/>
      </c>
      <c r="P27" s="68" t="str">
        <f ca="1">IF(AND('Mapa final'!$Y$16="Media",'Mapa final'!$AA$16="Menor"),CONCATENATE("R2C",'Mapa final'!$O$16),"")</f>
        <v/>
      </c>
      <c r="Q27" s="69" t="str">
        <f>IF(AND('Mapa final'!$Y$17="Media",'Mapa final'!$AA$17="Menor"),CONCATENATE("R2C",'Mapa final'!$O$17),"")</f>
        <v/>
      </c>
      <c r="R27" s="69" t="str">
        <f>IF(AND('Mapa final'!$Y$18="Media",'Mapa final'!$AA$18="Menor"),CONCATENATE("R2C",'Mapa final'!$O$18),"")</f>
        <v/>
      </c>
      <c r="S27" s="69" t="str">
        <f>IF(AND('Mapa final'!$Y$19="Media",'Mapa final'!$AA$19="Menor"),CONCATENATE("R2C",'Mapa final'!$O$19),"")</f>
        <v/>
      </c>
      <c r="T27" s="69" t="str">
        <f>IF(AND('Mapa final'!$Y$20="Media",'Mapa final'!$AA$20="Menor"),CONCATENATE("R2C",'Mapa final'!$O$20),"")</f>
        <v/>
      </c>
      <c r="U27" s="70" t="str">
        <f>IF(AND('Mapa final'!$Y$21="Media",'Mapa final'!$AA$21="Menor"),CONCATENATE("R2C",'Mapa final'!$O$21),"")</f>
        <v/>
      </c>
      <c r="V27" s="68" t="str">
        <f ca="1">IF(AND('Mapa final'!$Y$16="Media",'Mapa final'!$AA$16="Moderado"),CONCATENATE("R2C",'Mapa final'!$O$16),"")</f>
        <v/>
      </c>
      <c r="W27" s="69" t="str">
        <f>IF(AND('Mapa final'!$Y$17="Media",'Mapa final'!$AA$17="Moderado"),CONCATENATE("R2C",'Mapa final'!$O$17),"")</f>
        <v/>
      </c>
      <c r="X27" s="69" t="str">
        <f>IF(AND('Mapa final'!$Y$18="Media",'Mapa final'!$AA$18="Moderado"),CONCATENATE("R2C",'Mapa final'!$O$18),"")</f>
        <v/>
      </c>
      <c r="Y27" s="69" t="str">
        <f>IF(AND('Mapa final'!$Y$19="Media",'Mapa final'!$AA$19="Moderado"),CONCATENATE("R2C",'Mapa final'!$O$19),"")</f>
        <v/>
      </c>
      <c r="Z27" s="69" t="str">
        <f>IF(AND('Mapa final'!$Y$20="Media",'Mapa final'!$AA$20="Moderado"),CONCATENATE("R2C",'Mapa final'!$O$20),"")</f>
        <v/>
      </c>
      <c r="AA27" s="70" t="str">
        <f>IF(AND('Mapa final'!$Y$21="Media",'Mapa final'!$AA$21="Moderado"),CONCATENATE("R2C",'Mapa final'!$O$21),"")</f>
        <v/>
      </c>
      <c r="AB27" s="52" t="str">
        <f ca="1">IF(AND('Mapa final'!$Y$16="Media",'Mapa final'!$AA$16="Mayor"),CONCATENATE("R2C",'Mapa final'!$O$16),"")</f>
        <v/>
      </c>
      <c r="AC27" s="53" t="str">
        <f>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 ca="1">IF(AND('Mapa final'!$Y$16="Media",'Mapa final'!$AA$16="Catastrófico"),CONCATENATE("R2C",'Mapa final'!$O$16),"")</f>
        <v/>
      </c>
      <c r="AI27" s="56" t="str">
        <f>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4"/>
      <c r="AO27" s="382"/>
      <c r="AP27" s="383"/>
      <c r="AQ27" s="383"/>
      <c r="AR27" s="383"/>
      <c r="AS27" s="383"/>
      <c r="AT27" s="3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251"/>
      <c r="C28" s="251"/>
      <c r="D28" s="252"/>
      <c r="E28" s="352"/>
      <c r="F28" s="353"/>
      <c r="G28" s="353"/>
      <c r="H28" s="353"/>
      <c r="I28" s="368"/>
      <c r="J28" s="68" t="str">
        <f ca="1">IF(AND('Mapa final'!$Y$22="Media",'Mapa final'!$AA$22="Leve"),CONCATENATE("R3C",'Mapa final'!$O$22),"")</f>
        <v/>
      </c>
      <c r="K28" s="69" t="str">
        <f>IF(AND('Mapa final'!$Y$23="Media",'Mapa final'!$AA$23="Leve"),CONCATENATE("R3C",'Mapa final'!$O$23),"")</f>
        <v/>
      </c>
      <c r="L28" s="69" t="str">
        <f>IF(AND('Mapa final'!$Y$24="Media",'Mapa final'!$AA$24="Leve"),CONCATENATE("R3C",'Mapa final'!$O$24),"")</f>
        <v/>
      </c>
      <c r="M28" s="69" t="str">
        <f>IF(AND('Mapa final'!$Y$25="Media",'Mapa final'!$AA$25="Leve"),CONCATENATE("R3C",'Mapa final'!$O$25),"")</f>
        <v/>
      </c>
      <c r="N28" s="69" t="str">
        <f>IF(AND('Mapa final'!$Y$26="Media",'Mapa final'!$AA$26="Leve"),CONCATENATE("R3C",'Mapa final'!$O$26),"")</f>
        <v/>
      </c>
      <c r="O28" s="70" t="str">
        <f>IF(AND('Mapa final'!$Y$27="Media",'Mapa final'!$AA$27="Leve"),CONCATENATE("R3C",'Mapa final'!$O$27),"")</f>
        <v/>
      </c>
      <c r="P28" s="68" t="str">
        <f ca="1">IF(AND('Mapa final'!$Y$22="Media",'Mapa final'!$AA$22="Menor"),CONCATENATE("R3C",'Mapa final'!$O$22),"")</f>
        <v/>
      </c>
      <c r="Q28" s="69" t="str">
        <f>IF(AND('Mapa final'!$Y$23="Media",'Mapa final'!$AA$23="Menor"),CONCATENATE("R3C",'Mapa final'!$O$23),"")</f>
        <v/>
      </c>
      <c r="R28" s="69" t="str">
        <f>IF(AND('Mapa final'!$Y$24="Media",'Mapa final'!$AA$24="Menor"),CONCATENATE("R3C",'Mapa final'!$O$24),"")</f>
        <v/>
      </c>
      <c r="S28" s="69" t="str">
        <f>IF(AND('Mapa final'!$Y$25="Media",'Mapa final'!$AA$25="Menor"),CONCATENATE("R3C",'Mapa final'!$O$25),"")</f>
        <v/>
      </c>
      <c r="T28" s="69" t="str">
        <f>IF(AND('Mapa final'!$Y$26="Media",'Mapa final'!$AA$26="Menor"),CONCATENATE("R3C",'Mapa final'!$O$26),"")</f>
        <v/>
      </c>
      <c r="U28" s="70" t="str">
        <f>IF(AND('Mapa final'!$Y$27="Media",'Mapa final'!$AA$27="Menor"),CONCATENATE("R3C",'Mapa final'!$O$27),"")</f>
        <v/>
      </c>
      <c r="V28" s="68" t="str">
        <f ca="1">IF(AND('Mapa final'!$Y$22="Media",'Mapa final'!$AA$22="Moderado"),CONCATENATE("R3C",'Mapa final'!$O$22),"")</f>
        <v/>
      </c>
      <c r="W28" s="69" t="str">
        <f>IF(AND('Mapa final'!$Y$23="Media",'Mapa final'!$AA$23="Moderado"),CONCATENATE("R3C",'Mapa final'!$O$23),"")</f>
        <v/>
      </c>
      <c r="X28" s="69" t="str">
        <f>IF(AND('Mapa final'!$Y$24="Media",'Mapa final'!$AA$24="Moderado"),CONCATENATE("R3C",'Mapa final'!$O$24),"")</f>
        <v/>
      </c>
      <c r="Y28" s="69" t="str">
        <f>IF(AND('Mapa final'!$Y$25="Media",'Mapa final'!$AA$25="Moderado"),CONCATENATE("R3C",'Mapa final'!$O$25),"")</f>
        <v/>
      </c>
      <c r="Z28" s="69" t="str">
        <f>IF(AND('Mapa final'!$Y$26="Media",'Mapa final'!$AA$26="Moderado"),CONCATENATE("R3C",'Mapa final'!$O$26),"")</f>
        <v/>
      </c>
      <c r="AA28" s="70" t="str">
        <f>IF(AND('Mapa final'!$Y$27="Media",'Mapa final'!$AA$27="Moderado"),CONCATENATE("R3C",'Mapa final'!$O$27),"")</f>
        <v/>
      </c>
      <c r="AB28" s="52" t="str">
        <f ca="1">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 ca="1">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4"/>
      <c r="AO28" s="382"/>
      <c r="AP28" s="383"/>
      <c r="AQ28" s="383"/>
      <c r="AR28" s="383"/>
      <c r="AS28" s="383"/>
      <c r="AT28" s="3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251"/>
      <c r="C29" s="251"/>
      <c r="D29" s="252"/>
      <c r="E29" s="352"/>
      <c r="F29" s="353"/>
      <c r="G29" s="353"/>
      <c r="H29" s="353"/>
      <c r="I29" s="368"/>
      <c r="J29" s="68" t="str">
        <f>IF(AND('Mapa final'!$Y$28="Media",'Mapa final'!$AA$28="Leve"),CONCATENATE("R4C",'Mapa final'!$O$28),"")</f>
        <v/>
      </c>
      <c r="K29" s="69" t="str">
        <f>IF(AND('Mapa final'!$Y$29="Media",'Mapa final'!$AA$29="Leve"),CONCATENATE("R4C",'Mapa final'!$O$29),"")</f>
        <v/>
      </c>
      <c r="L29" s="69" t="str">
        <f>IF(AND('Mapa final'!$Y$30="Media",'Mapa final'!$AA$30="Leve"),CONCATENATE("R4C",'Mapa final'!$O$30),"")</f>
        <v/>
      </c>
      <c r="M29" s="69" t="str">
        <f>IF(AND('Mapa final'!$Y$31="Media",'Mapa final'!$AA$31="Leve"),CONCATENATE("R4C",'Mapa final'!$O$31),"")</f>
        <v/>
      </c>
      <c r="N29" s="69" t="str">
        <f>IF(AND('Mapa final'!$Y$32="Media",'Mapa final'!$AA$32="Leve"),CONCATENATE("R4C",'Mapa final'!$O$32),"")</f>
        <v/>
      </c>
      <c r="O29" s="70" t="str">
        <f>IF(AND('Mapa final'!$Y$33="Media",'Mapa final'!$AA$33="Leve"),CONCATENATE("R4C",'Mapa final'!$O$33),"")</f>
        <v/>
      </c>
      <c r="P29" s="68" t="str">
        <f>IF(AND('Mapa final'!$Y$28="Media",'Mapa final'!$AA$28="Menor"),CONCATENATE("R4C",'Mapa final'!$O$28),"")</f>
        <v/>
      </c>
      <c r="Q29" s="69" t="str">
        <f>IF(AND('Mapa final'!$Y$29="Media",'Mapa final'!$AA$29="Menor"),CONCATENATE("R4C",'Mapa final'!$O$29),"")</f>
        <v/>
      </c>
      <c r="R29" s="69" t="str">
        <f>IF(AND('Mapa final'!$Y$30="Media",'Mapa final'!$AA$30="Menor"),CONCATENATE("R4C",'Mapa final'!$O$30),"")</f>
        <v/>
      </c>
      <c r="S29" s="69" t="str">
        <f>IF(AND('Mapa final'!$Y$31="Media",'Mapa final'!$AA$31="Menor"),CONCATENATE("R4C",'Mapa final'!$O$31),"")</f>
        <v/>
      </c>
      <c r="T29" s="69" t="str">
        <f>IF(AND('Mapa final'!$Y$32="Media",'Mapa final'!$AA$32="Menor"),CONCATENATE("R4C",'Mapa final'!$O$32),"")</f>
        <v/>
      </c>
      <c r="U29" s="70" t="str">
        <f>IF(AND('Mapa final'!$Y$33="Media",'Mapa final'!$AA$33="Menor"),CONCATENATE("R4C",'Mapa final'!$O$33),"")</f>
        <v/>
      </c>
      <c r="V29" s="68" t="str">
        <f>IF(AND('Mapa final'!$Y$28="Media",'Mapa final'!$AA$28="Moderado"),CONCATENATE("R4C",'Mapa final'!$O$28),"")</f>
        <v/>
      </c>
      <c r="W29" s="69" t="str">
        <f>IF(AND('Mapa final'!$Y$29="Media",'Mapa final'!$AA$29="Moderado"),CONCATENATE("R4C",'Mapa final'!$O$29),"")</f>
        <v/>
      </c>
      <c r="X29" s="69" t="str">
        <f>IF(AND('Mapa final'!$Y$30="Media",'Mapa final'!$AA$30="Moderado"),CONCATENATE("R4C",'Mapa final'!$O$30),"")</f>
        <v/>
      </c>
      <c r="Y29" s="69" t="str">
        <f>IF(AND('Mapa final'!$Y$31="Media",'Mapa final'!$AA$31="Moderado"),CONCATENATE("R4C",'Mapa final'!$O$31),"")</f>
        <v/>
      </c>
      <c r="Z29" s="69" t="str">
        <f>IF(AND('Mapa final'!$Y$32="Media",'Mapa final'!$AA$32="Moderado"),CONCATENATE("R4C",'Mapa final'!$O$32),"")</f>
        <v/>
      </c>
      <c r="AA29" s="70" t="str">
        <f>IF(AND('Mapa final'!$Y$33="Media",'Mapa final'!$AA$33="Moderado"),CONCATENATE("R4C",'Mapa final'!$O$33),"")</f>
        <v/>
      </c>
      <c r="AB29" s="52" t="str">
        <f>IF(AND('Mapa final'!$Y$28="Media",'Mapa final'!$AA$28="Mayor"),CONCATENATE("R4C",'Mapa final'!$O$28),"")</f>
        <v/>
      </c>
      <c r="AC29" s="53" t="str">
        <f>IF(AND('Mapa final'!$Y$29="Media",'Mapa final'!$AA$29="Mayor"),CONCATENATE("R4C",'Mapa final'!$O$29),"")</f>
        <v/>
      </c>
      <c r="AD29" s="58" t="str">
        <f>IF(AND('Mapa final'!$Y$30="Media",'Mapa final'!$AA$30="Mayor"),CONCATENATE("R4C",'Mapa final'!$O$30),"")</f>
        <v/>
      </c>
      <c r="AE29" s="58" t="str">
        <f>IF(AND('Mapa final'!$Y$31="Media",'Mapa final'!$AA$31="Mayor"),CONCATENATE("R4C",'Mapa final'!$O$31),"")</f>
        <v/>
      </c>
      <c r="AF29" s="58" t="str">
        <f>IF(AND('Mapa final'!$Y$32="Media",'Mapa final'!$AA$32="Mayor"),CONCATENATE("R4C",'Mapa final'!$O$32),"")</f>
        <v/>
      </c>
      <c r="AG29" s="54" t="str">
        <f>IF(AND('Mapa final'!$Y$33="Media",'Mapa final'!$AA$33="Mayor"),CONCATENATE("R4C",'Mapa final'!$O$33),"")</f>
        <v/>
      </c>
      <c r="AH29" s="55" t="str">
        <f>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4"/>
      <c r="AO29" s="382"/>
      <c r="AP29" s="383"/>
      <c r="AQ29" s="383"/>
      <c r="AR29" s="383"/>
      <c r="AS29" s="383"/>
      <c r="AT29" s="3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251"/>
      <c r="C30" s="251"/>
      <c r="D30" s="252"/>
      <c r="E30" s="352"/>
      <c r="F30" s="353"/>
      <c r="G30" s="353"/>
      <c r="H30" s="353"/>
      <c r="I30" s="368"/>
      <c r="J30" s="68" t="str">
        <f>IF(AND('Mapa final'!$Y$34="Media",'Mapa final'!$AA$34="Leve"),CONCATENATE("R5C",'Mapa final'!$O$34),"")</f>
        <v/>
      </c>
      <c r="K30" s="69" t="str">
        <f>IF(AND('Mapa final'!$Y$35="Media",'Mapa final'!$AA$35="Leve"),CONCATENATE("R5C",'Mapa final'!$O$35),"")</f>
        <v/>
      </c>
      <c r="L30" s="69" t="str">
        <f>IF(AND('Mapa final'!$Y$36="Media",'Mapa final'!$AA$36="Leve"),CONCATENATE("R5C",'Mapa final'!$O$36),"")</f>
        <v/>
      </c>
      <c r="M30" s="69" t="str">
        <f>IF(AND('Mapa final'!$Y$37="Media",'Mapa final'!$AA$37="Leve"),CONCATENATE("R5C",'Mapa final'!$O$37),"")</f>
        <v/>
      </c>
      <c r="N30" s="69" t="str">
        <f>IF(AND('Mapa final'!$Y$38="Media",'Mapa final'!$AA$38="Leve"),CONCATENATE("R5C",'Mapa final'!$O$38),"")</f>
        <v/>
      </c>
      <c r="O30" s="70" t="str">
        <f>IF(AND('Mapa final'!$Y$39="Media",'Mapa final'!$AA$39="Leve"),CONCATENATE("R5C",'Mapa final'!$O$39),"")</f>
        <v/>
      </c>
      <c r="P30" s="68" t="str">
        <f>IF(AND('Mapa final'!$Y$34="Media",'Mapa final'!$AA$34="Menor"),CONCATENATE("R5C",'Mapa final'!$O$34),"")</f>
        <v/>
      </c>
      <c r="Q30" s="69" t="str">
        <f>IF(AND('Mapa final'!$Y$35="Media",'Mapa final'!$AA$35="Menor"),CONCATENATE("R5C",'Mapa final'!$O$35),"")</f>
        <v/>
      </c>
      <c r="R30" s="69" t="str">
        <f>IF(AND('Mapa final'!$Y$36="Media",'Mapa final'!$AA$36="Menor"),CONCATENATE("R5C",'Mapa final'!$O$36),"")</f>
        <v/>
      </c>
      <c r="S30" s="69" t="str">
        <f>IF(AND('Mapa final'!$Y$37="Media",'Mapa final'!$AA$37="Menor"),CONCATENATE("R5C",'Mapa final'!$O$37),"")</f>
        <v/>
      </c>
      <c r="T30" s="69" t="str">
        <f>IF(AND('Mapa final'!$Y$38="Media",'Mapa final'!$AA$38="Menor"),CONCATENATE("R5C",'Mapa final'!$O$38),"")</f>
        <v/>
      </c>
      <c r="U30" s="70" t="str">
        <f>IF(AND('Mapa final'!$Y$39="Media",'Mapa final'!$AA$39="Menor"),CONCATENATE("R5C",'Mapa final'!$O$39),"")</f>
        <v/>
      </c>
      <c r="V30" s="68" t="str">
        <f>IF(AND('Mapa final'!$Y$34="Media",'Mapa final'!$AA$34="Moderado"),CONCATENATE("R5C",'Mapa final'!$O$34),"")</f>
        <v/>
      </c>
      <c r="W30" s="69" t="str">
        <f>IF(AND('Mapa final'!$Y$35="Media",'Mapa final'!$AA$35="Moderado"),CONCATENATE("R5C",'Mapa final'!$O$35),"")</f>
        <v/>
      </c>
      <c r="X30" s="69" t="str">
        <f>IF(AND('Mapa final'!$Y$36="Media",'Mapa final'!$AA$36="Moderado"),CONCATENATE("R5C",'Mapa final'!$O$36),"")</f>
        <v/>
      </c>
      <c r="Y30" s="69" t="str">
        <f>IF(AND('Mapa final'!$Y$37="Media",'Mapa final'!$AA$37="Moderado"),CONCATENATE("R5C",'Mapa final'!$O$37),"")</f>
        <v/>
      </c>
      <c r="Z30" s="69" t="str">
        <f>IF(AND('Mapa final'!$Y$38="Media",'Mapa final'!$AA$38="Moderado"),CONCATENATE("R5C",'Mapa final'!$O$38),"")</f>
        <v/>
      </c>
      <c r="AA30" s="70" t="str">
        <f>IF(AND('Mapa final'!$Y$39="Media",'Mapa final'!$AA$39="Moderado"),CONCATENATE("R5C",'Mapa final'!$O$39),"")</f>
        <v/>
      </c>
      <c r="AB30" s="52" t="str">
        <f>IF(AND('Mapa final'!$Y$34="Media",'Mapa final'!$AA$34="Mayor"),CONCATENATE("R5C",'Mapa final'!$O$34),"")</f>
        <v/>
      </c>
      <c r="AC30" s="53" t="str">
        <f>IF(AND('Mapa final'!$Y$35="Media",'Mapa final'!$AA$35="Mayor"),CONCATENATE("R5C",'Mapa final'!$O$35),"")</f>
        <v/>
      </c>
      <c r="AD30" s="58" t="str">
        <f>IF(AND('Mapa final'!$Y$36="Media",'Mapa final'!$AA$36="Mayor"),CONCATENATE("R5C",'Mapa final'!$O$36),"")</f>
        <v/>
      </c>
      <c r="AE30" s="58" t="str">
        <f>IF(AND('Mapa final'!$Y$37="Media",'Mapa final'!$AA$37="Mayor"),CONCATENATE("R5C",'Mapa final'!$O$37),"")</f>
        <v/>
      </c>
      <c r="AF30" s="58" t="str">
        <f>IF(AND('Mapa final'!$Y$38="Media",'Mapa final'!$AA$38="Mayor"),CONCATENATE("R5C",'Mapa final'!$O$38),"")</f>
        <v/>
      </c>
      <c r="AG30" s="54" t="str">
        <f>IF(AND('Mapa final'!$Y$39="Media",'Mapa final'!$AA$39="Mayor"),CONCATENATE("R5C",'Mapa final'!$O$39),"")</f>
        <v/>
      </c>
      <c r="AH30" s="55" t="str">
        <f>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4"/>
      <c r="AO30" s="382"/>
      <c r="AP30" s="383"/>
      <c r="AQ30" s="383"/>
      <c r="AR30" s="383"/>
      <c r="AS30" s="383"/>
      <c r="AT30" s="3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251"/>
      <c r="C31" s="251"/>
      <c r="D31" s="252"/>
      <c r="E31" s="352"/>
      <c r="F31" s="353"/>
      <c r="G31" s="353"/>
      <c r="H31" s="353"/>
      <c r="I31" s="368"/>
      <c r="J31" s="68" t="str">
        <f>IF(AND('Mapa final'!$Y$40="Media",'Mapa final'!$AA$40="Leve"),CONCATENATE("R6C",'Mapa final'!$O$40),"")</f>
        <v/>
      </c>
      <c r="K31" s="69" t="str">
        <f>IF(AND('Mapa final'!$Y$41="Media",'Mapa final'!$AA$41="Leve"),CONCATENATE("R6C",'Mapa final'!$O$41),"")</f>
        <v/>
      </c>
      <c r="L31" s="69" t="str">
        <f>IF(AND('Mapa final'!$Y$42="Media",'Mapa final'!$AA$42="Leve"),CONCATENATE("R6C",'Mapa final'!$O$42),"")</f>
        <v/>
      </c>
      <c r="M31" s="69" t="str">
        <f>IF(AND('Mapa final'!$Y$43="Media",'Mapa final'!$AA$43="Leve"),CONCATENATE("R6C",'Mapa final'!$O$43),"")</f>
        <v/>
      </c>
      <c r="N31" s="69" t="str">
        <f>IF(AND('Mapa final'!$Y$44="Media",'Mapa final'!$AA$44="Leve"),CONCATENATE("R6C",'Mapa final'!$O$44),"")</f>
        <v/>
      </c>
      <c r="O31" s="70" t="str">
        <f>IF(AND('Mapa final'!$Y$45="Media",'Mapa final'!$AA$45="Leve"),CONCATENATE("R6C",'Mapa final'!$O$45),"")</f>
        <v/>
      </c>
      <c r="P31" s="68" t="str">
        <f>IF(AND('Mapa final'!$Y$40="Media",'Mapa final'!$AA$40="Menor"),CONCATENATE("R6C",'Mapa final'!$O$40),"")</f>
        <v/>
      </c>
      <c r="Q31" s="69" t="str">
        <f>IF(AND('Mapa final'!$Y$41="Media",'Mapa final'!$AA$41="Menor"),CONCATENATE("R6C",'Mapa final'!$O$41),"")</f>
        <v/>
      </c>
      <c r="R31" s="69" t="str">
        <f>IF(AND('Mapa final'!$Y$42="Media",'Mapa final'!$AA$42="Menor"),CONCATENATE("R6C",'Mapa final'!$O$42),"")</f>
        <v/>
      </c>
      <c r="S31" s="69" t="str">
        <f>IF(AND('Mapa final'!$Y$43="Media",'Mapa final'!$AA$43="Menor"),CONCATENATE("R6C",'Mapa final'!$O$43),"")</f>
        <v/>
      </c>
      <c r="T31" s="69" t="str">
        <f>IF(AND('Mapa final'!$Y$44="Media",'Mapa final'!$AA$44="Menor"),CONCATENATE("R6C",'Mapa final'!$O$44),"")</f>
        <v/>
      </c>
      <c r="U31" s="70" t="str">
        <f>IF(AND('Mapa final'!$Y$45="Media",'Mapa final'!$AA$45="Menor"),CONCATENATE("R6C",'Mapa final'!$O$45),"")</f>
        <v/>
      </c>
      <c r="V31" s="68" t="str">
        <f>IF(AND('Mapa final'!$Y$40="Media",'Mapa final'!$AA$40="Moderado"),CONCATENATE("R6C",'Mapa final'!$O$40),"")</f>
        <v/>
      </c>
      <c r="W31" s="69" t="str">
        <f>IF(AND('Mapa final'!$Y$41="Media",'Mapa final'!$AA$41="Moderado"),CONCATENATE("R6C",'Mapa final'!$O$41),"")</f>
        <v/>
      </c>
      <c r="X31" s="69" t="str">
        <f>IF(AND('Mapa final'!$Y$42="Media",'Mapa final'!$AA$42="Moderado"),CONCATENATE("R6C",'Mapa final'!$O$42),"")</f>
        <v/>
      </c>
      <c r="Y31" s="69" t="str">
        <f>IF(AND('Mapa final'!$Y$43="Media",'Mapa final'!$AA$43="Moderado"),CONCATENATE("R6C",'Mapa final'!$O$43),"")</f>
        <v/>
      </c>
      <c r="Z31" s="69" t="str">
        <f>IF(AND('Mapa final'!$Y$44="Media",'Mapa final'!$AA$44="Moderado"),CONCATENATE("R6C",'Mapa final'!$O$44),"")</f>
        <v/>
      </c>
      <c r="AA31" s="70" t="str">
        <f>IF(AND('Mapa final'!$Y$45="Media",'Mapa final'!$AA$45="Moderado"),CONCATENATE("R6C",'Mapa final'!$O$45),"")</f>
        <v/>
      </c>
      <c r="AB31" s="52" t="str">
        <f>IF(AND('Mapa final'!$Y$40="Media",'Mapa final'!$AA$40="Mayor"),CONCATENATE("R6C",'Mapa final'!$O$40),"")</f>
        <v/>
      </c>
      <c r="AC31" s="53" t="str">
        <f>IF(AND('Mapa final'!$Y$41="Media",'Mapa final'!$AA$41="Mayor"),CONCATENATE("R6C",'Mapa final'!$O$41),"")</f>
        <v/>
      </c>
      <c r="AD31" s="58" t="str">
        <f>IF(AND('Mapa final'!$Y$42="Media",'Mapa final'!$AA$42="Mayor"),CONCATENATE("R6C",'Mapa final'!$O$42),"")</f>
        <v/>
      </c>
      <c r="AE31" s="58" t="str">
        <f>IF(AND('Mapa final'!$Y$43="Media",'Mapa final'!$AA$43="Mayor"),CONCATENATE("R6C",'Mapa final'!$O$43),"")</f>
        <v/>
      </c>
      <c r="AF31" s="58" t="str">
        <f>IF(AND('Mapa final'!$Y$44="Media",'Mapa final'!$AA$44="Mayor"),CONCATENATE("R6C",'Mapa final'!$O$44),"")</f>
        <v/>
      </c>
      <c r="AG31" s="54" t="str">
        <f>IF(AND('Mapa final'!$Y$45="Media",'Mapa final'!$AA$45="Mayor"),CONCATENATE("R6C",'Mapa final'!$O$45),"")</f>
        <v/>
      </c>
      <c r="AH31" s="55" t="str">
        <f>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4"/>
      <c r="AO31" s="382"/>
      <c r="AP31" s="383"/>
      <c r="AQ31" s="383"/>
      <c r="AR31" s="383"/>
      <c r="AS31" s="383"/>
      <c r="AT31" s="3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251"/>
      <c r="C32" s="251"/>
      <c r="D32" s="252"/>
      <c r="E32" s="352"/>
      <c r="F32" s="353"/>
      <c r="G32" s="353"/>
      <c r="H32" s="353"/>
      <c r="I32" s="368"/>
      <c r="J32" s="68" t="str">
        <f>IF(AND('Mapa final'!$Y$46="Media",'Mapa final'!$AA$46="Leve"),CONCATENATE("R7C",'Mapa final'!$O$46),"")</f>
        <v/>
      </c>
      <c r="K32" s="69" t="str">
        <f>IF(AND('Mapa final'!$Y$47="Media",'Mapa final'!$AA$47="Leve"),CONCATENATE("R7C",'Mapa final'!$O$47),"")</f>
        <v/>
      </c>
      <c r="L32" s="69" t="str">
        <f>IF(AND('Mapa final'!$Y$48="Media",'Mapa final'!$AA$48="Leve"),CONCATENATE("R7C",'Mapa final'!$O$48),"")</f>
        <v/>
      </c>
      <c r="M32" s="69" t="str">
        <f>IF(AND('Mapa final'!$Y$49="Media",'Mapa final'!$AA$49="Leve"),CONCATENATE("R7C",'Mapa final'!$O$49),"")</f>
        <v/>
      </c>
      <c r="N32" s="69" t="str">
        <f>IF(AND('Mapa final'!$Y$50="Media",'Mapa final'!$AA$50="Leve"),CONCATENATE("R7C",'Mapa final'!$O$50),"")</f>
        <v/>
      </c>
      <c r="O32" s="70" t="str">
        <f>IF(AND('Mapa final'!$Y$51="Media",'Mapa final'!$AA$51="Leve"),CONCATENATE("R7C",'Mapa final'!$O$51),"")</f>
        <v/>
      </c>
      <c r="P32" s="68" t="str">
        <f>IF(AND('Mapa final'!$Y$46="Media",'Mapa final'!$AA$46="Menor"),CONCATENATE("R7C",'Mapa final'!$O$46),"")</f>
        <v/>
      </c>
      <c r="Q32" s="69" t="str">
        <f>IF(AND('Mapa final'!$Y$47="Media",'Mapa final'!$AA$47="Menor"),CONCATENATE("R7C",'Mapa final'!$O$47),"")</f>
        <v/>
      </c>
      <c r="R32" s="69" t="str">
        <f>IF(AND('Mapa final'!$Y$48="Media",'Mapa final'!$AA$48="Menor"),CONCATENATE("R7C",'Mapa final'!$O$48),"")</f>
        <v/>
      </c>
      <c r="S32" s="69" t="str">
        <f>IF(AND('Mapa final'!$Y$49="Media",'Mapa final'!$AA$49="Menor"),CONCATENATE("R7C",'Mapa final'!$O$49),"")</f>
        <v/>
      </c>
      <c r="T32" s="69" t="str">
        <f>IF(AND('Mapa final'!$Y$50="Media",'Mapa final'!$AA$50="Menor"),CONCATENATE("R7C",'Mapa final'!$O$50),"")</f>
        <v/>
      </c>
      <c r="U32" s="70" t="str">
        <f>IF(AND('Mapa final'!$Y$51="Media",'Mapa final'!$AA$51="Menor"),CONCATENATE("R7C",'Mapa final'!$O$51),"")</f>
        <v/>
      </c>
      <c r="V32" s="68" t="str">
        <f>IF(AND('Mapa final'!$Y$46="Media",'Mapa final'!$AA$46="Moderado"),CONCATENATE("R7C",'Mapa final'!$O$46),"")</f>
        <v/>
      </c>
      <c r="W32" s="69" t="str">
        <f>IF(AND('Mapa final'!$Y$47="Media",'Mapa final'!$AA$47="Moderado"),CONCATENATE("R7C",'Mapa final'!$O$47),"")</f>
        <v/>
      </c>
      <c r="X32" s="69" t="str">
        <f>IF(AND('Mapa final'!$Y$48="Media",'Mapa final'!$AA$48="Moderado"),CONCATENATE("R7C",'Mapa final'!$O$48),"")</f>
        <v/>
      </c>
      <c r="Y32" s="69" t="str">
        <f>IF(AND('Mapa final'!$Y$49="Media",'Mapa final'!$AA$49="Moderado"),CONCATENATE("R7C",'Mapa final'!$O$49),"")</f>
        <v/>
      </c>
      <c r="Z32" s="69" t="str">
        <f>IF(AND('Mapa final'!$Y$50="Media",'Mapa final'!$AA$50="Moderado"),CONCATENATE("R7C",'Mapa final'!$O$50),"")</f>
        <v/>
      </c>
      <c r="AA32" s="70" t="str">
        <f>IF(AND('Mapa final'!$Y$51="Media",'Mapa final'!$AA$51="Moderado"),CONCATENATE("R7C",'Mapa final'!$O$51),"")</f>
        <v/>
      </c>
      <c r="AB32" s="52" t="str">
        <f>IF(AND('Mapa final'!$Y$46="Media",'Mapa final'!$AA$46="Mayor"),CONCATENATE("R7C",'Mapa final'!$O$46),"")</f>
        <v/>
      </c>
      <c r="AC32" s="53" t="str">
        <f>IF(AND('Mapa final'!$Y$47="Media",'Mapa final'!$AA$47="Mayor"),CONCATENATE("R7C",'Mapa final'!$O$47),"")</f>
        <v/>
      </c>
      <c r="AD32" s="58" t="str">
        <f>IF(AND('Mapa final'!$Y$48="Media",'Mapa final'!$AA$48="Mayor"),CONCATENATE("R7C",'Mapa final'!$O$48),"")</f>
        <v/>
      </c>
      <c r="AE32" s="58" t="str">
        <f>IF(AND('Mapa final'!$Y$49="Media",'Mapa final'!$AA$49="Mayor"),CONCATENATE("R7C",'Mapa final'!$O$49),"")</f>
        <v/>
      </c>
      <c r="AF32" s="58" t="str">
        <f>IF(AND('Mapa final'!$Y$50="Media",'Mapa final'!$AA$50="Mayor"),CONCATENATE("R7C",'Mapa final'!$O$50),"")</f>
        <v/>
      </c>
      <c r="AG32" s="54" t="str">
        <f>IF(AND('Mapa final'!$Y$51="Media",'Mapa final'!$AA$51="Mayor"),CONCATENATE("R7C",'Mapa final'!$O$51),"")</f>
        <v/>
      </c>
      <c r="AH32" s="55" t="str">
        <f>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4"/>
      <c r="AO32" s="382"/>
      <c r="AP32" s="383"/>
      <c r="AQ32" s="383"/>
      <c r="AR32" s="383"/>
      <c r="AS32" s="383"/>
      <c r="AT32" s="3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251"/>
      <c r="C33" s="251"/>
      <c r="D33" s="252"/>
      <c r="E33" s="352"/>
      <c r="F33" s="353"/>
      <c r="G33" s="353"/>
      <c r="H33" s="353"/>
      <c r="I33" s="368"/>
      <c r="J33" s="68" t="str">
        <f>IF(AND('Mapa final'!$Y$52="Media",'Mapa final'!$AA$52="Leve"),CONCATENATE("R8C",'Mapa final'!$O$52),"")</f>
        <v/>
      </c>
      <c r="K33" s="69" t="str">
        <f>IF(AND('Mapa final'!$Y$53="Media",'Mapa final'!$AA$53="Leve"),CONCATENATE("R8C",'Mapa final'!$O$53),"")</f>
        <v/>
      </c>
      <c r="L33" s="69" t="str">
        <f>IF(AND('Mapa final'!$Y$54="Media",'Mapa final'!$AA$54="Leve"),CONCATENATE("R8C",'Mapa final'!$O$54),"")</f>
        <v/>
      </c>
      <c r="M33" s="69" t="str">
        <f>IF(AND('Mapa final'!$Y$55="Media",'Mapa final'!$AA$55="Leve"),CONCATENATE("R8C",'Mapa final'!$O$55),"")</f>
        <v/>
      </c>
      <c r="N33" s="69" t="str">
        <f>IF(AND('Mapa final'!$Y$56="Media",'Mapa final'!$AA$56="Leve"),CONCATENATE("R8C",'Mapa final'!$O$56),"")</f>
        <v/>
      </c>
      <c r="O33" s="70" t="str">
        <f>IF(AND('Mapa final'!$Y$57="Media",'Mapa final'!$AA$57="Leve"),CONCATENATE("R8C",'Mapa final'!$O$57),"")</f>
        <v/>
      </c>
      <c r="P33" s="68" t="str">
        <f>IF(AND('Mapa final'!$Y$52="Media",'Mapa final'!$AA$52="Menor"),CONCATENATE("R8C",'Mapa final'!$O$52),"")</f>
        <v/>
      </c>
      <c r="Q33" s="69" t="str">
        <f>IF(AND('Mapa final'!$Y$53="Media",'Mapa final'!$AA$53="Menor"),CONCATENATE("R8C",'Mapa final'!$O$53),"")</f>
        <v/>
      </c>
      <c r="R33" s="69" t="str">
        <f>IF(AND('Mapa final'!$Y$54="Media",'Mapa final'!$AA$54="Menor"),CONCATENATE("R8C",'Mapa final'!$O$54),"")</f>
        <v/>
      </c>
      <c r="S33" s="69" t="str">
        <f>IF(AND('Mapa final'!$Y$55="Media",'Mapa final'!$AA$55="Menor"),CONCATENATE("R8C",'Mapa final'!$O$55),"")</f>
        <v/>
      </c>
      <c r="T33" s="69" t="str">
        <f>IF(AND('Mapa final'!$Y$56="Media",'Mapa final'!$AA$56="Menor"),CONCATENATE("R8C",'Mapa final'!$O$56),"")</f>
        <v/>
      </c>
      <c r="U33" s="70" t="str">
        <f>IF(AND('Mapa final'!$Y$57="Media",'Mapa final'!$AA$57="Menor"),CONCATENATE("R8C",'Mapa final'!$O$57),"")</f>
        <v/>
      </c>
      <c r="V33" s="68" t="str">
        <f>IF(AND('Mapa final'!$Y$52="Media",'Mapa final'!$AA$52="Moderado"),CONCATENATE("R8C",'Mapa final'!$O$52),"")</f>
        <v/>
      </c>
      <c r="W33" s="69" t="str">
        <f>IF(AND('Mapa final'!$Y$53="Media",'Mapa final'!$AA$53="Moderado"),CONCATENATE("R8C",'Mapa final'!$O$53),"")</f>
        <v/>
      </c>
      <c r="X33" s="69" t="str">
        <f>IF(AND('Mapa final'!$Y$54="Media",'Mapa final'!$AA$54="Moderado"),CONCATENATE("R8C",'Mapa final'!$O$54),"")</f>
        <v/>
      </c>
      <c r="Y33" s="69" t="str">
        <f>IF(AND('Mapa final'!$Y$55="Media",'Mapa final'!$AA$55="Moderado"),CONCATENATE("R8C",'Mapa final'!$O$55),"")</f>
        <v/>
      </c>
      <c r="Z33" s="69" t="str">
        <f>IF(AND('Mapa final'!$Y$56="Media",'Mapa final'!$AA$56="Moderado"),CONCATENATE("R8C",'Mapa final'!$O$56),"")</f>
        <v/>
      </c>
      <c r="AA33" s="70" t="str">
        <f>IF(AND('Mapa final'!$Y$57="Media",'Mapa final'!$AA$57="Moderado"),CONCATENATE("R8C",'Mapa final'!$O$57),"")</f>
        <v/>
      </c>
      <c r="AB33" s="52" t="str">
        <f>IF(AND('Mapa final'!$Y$52="Media",'Mapa final'!$AA$52="Mayor"),CONCATENATE("R8C",'Mapa final'!$O$52),"")</f>
        <v/>
      </c>
      <c r="AC33" s="53" t="str">
        <f>IF(AND('Mapa final'!$Y$53="Media",'Mapa final'!$AA$53="Mayor"),CONCATENATE("R8C",'Mapa final'!$O$53),"")</f>
        <v/>
      </c>
      <c r="AD33" s="58" t="str">
        <f>IF(AND('Mapa final'!$Y$54="Media",'Mapa final'!$AA$54="Mayor"),CONCATENATE("R8C",'Mapa final'!$O$54),"")</f>
        <v/>
      </c>
      <c r="AE33" s="58" t="str">
        <f>IF(AND('Mapa final'!$Y$55="Media",'Mapa final'!$AA$55="Mayor"),CONCATENATE("R8C",'Mapa final'!$O$55),"")</f>
        <v/>
      </c>
      <c r="AF33" s="58" t="str">
        <f>IF(AND('Mapa final'!$Y$56="Media",'Mapa final'!$AA$56="Mayor"),CONCATENATE("R8C",'Mapa final'!$O$56),"")</f>
        <v/>
      </c>
      <c r="AG33" s="54" t="str">
        <f>IF(AND('Mapa final'!$Y$57="Media",'Mapa final'!$AA$57="Mayor"),CONCATENATE("R8C",'Mapa final'!$O$57),"")</f>
        <v/>
      </c>
      <c r="AH33" s="55" t="str">
        <f>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4"/>
      <c r="AO33" s="382"/>
      <c r="AP33" s="383"/>
      <c r="AQ33" s="383"/>
      <c r="AR33" s="383"/>
      <c r="AS33" s="383"/>
      <c r="AT33" s="3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251"/>
      <c r="C34" s="251"/>
      <c r="D34" s="252"/>
      <c r="E34" s="352"/>
      <c r="F34" s="353"/>
      <c r="G34" s="353"/>
      <c r="H34" s="353"/>
      <c r="I34" s="368"/>
      <c r="J34" s="68" t="str">
        <f>IF(AND('Mapa final'!$Y$58="Media",'Mapa final'!$AA$58="Leve"),CONCATENATE("R9C",'Mapa final'!$O$58),"")</f>
        <v/>
      </c>
      <c r="K34" s="69" t="str">
        <f>IF(AND('Mapa final'!$Y$59="Media",'Mapa final'!$AA$59="Leve"),CONCATENATE("R9C",'Mapa final'!$O$59),"")</f>
        <v/>
      </c>
      <c r="L34" s="69" t="str">
        <f>IF(AND('Mapa final'!$Y$60="Media",'Mapa final'!$AA$60="Leve"),CONCATENATE("R9C",'Mapa final'!$O$60),"")</f>
        <v/>
      </c>
      <c r="M34" s="69" t="str">
        <f>IF(AND('Mapa final'!$Y$61="Media",'Mapa final'!$AA$61="Leve"),CONCATENATE("R9C",'Mapa final'!$O$61),"")</f>
        <v/>
      </c>
      <c r="N34" s="69" t="str">
        <f>IF(AND('Mapa final'!$Y$62="Media",'Mapa final'!$AA$62="Leve"),CONCATENATE("R9C",'Mapa final'!$O$62),"")</f>
        <v/>
      </c>
      <c r="O34" s="70" t="str">
        <f>IF(AND('Mapa final'!$Y$63="Media",'Mapa final'!$AA$63="Leve"),CONCATENATE("R9C",'Mapa final'!$O$63),"")</f>
        <v/>
      </c>
      <c r="P34" s="68" t="str">
        <f>IF(AND('Mapa final'!$Y$58="Media",'Mapa final'!$AA$58="Menor"),CONCATENATE("R9C",'Mapa final'!$O$58),"")</f>
        <v/>
      </c>
      <c r="Q34" s="69" t="str">
        <f>IF(AND('Mapa final'!$Y$59="Media",'Mapa final'!$AA$59="Menor"),CONCATENATE("R9C",'Mapa final'!$O$59),"")</f>
        <v/>
      </c>
      <c r="R34" s="69" t="str">
        <f>IF(AND('Mapa final'!$Y$60="Media",'Mapa final'!$AA$60="Menor"),CONCATENATE("R9C",'Mapa final'!$O$60),"")</f>
        <v/>
      </c>
      <c r="S34" s="69" t="str">
        <f>IF(AND('Mapa final'!$Y$61="Media",'Mapa final'!$AA$61="Menor"),CONCATENATE("R9C",'Mapa final'!$O$61),"")</f>
        <v/>
      </c>
      <c r="T34" s="69" t="str">
        <f>IF(AND('Mapa final'!$Y$62="Media",'Mapa final'!$AA$62="Menor"),CONCATENATE("R9C",'Mapa final'!$O$62),"")</f>
        <v/>
      </c>
      <c r="U34" s="70" t="str">
        <f>IF(AND('Mapa final'!$Y$63="Media",'Mapa final'!$AA$63="Menor"),CONCATENATE("R9C",'Mapa final'!$O$63),"")</f>
        <v/>
      </c>
      <c r="V34" s="68" t="str">
        <f>IF(AND('Mapa final'!$Y$58="Media",'Mapa final'!$AA$58="Moderado"),CONCATENATE("R9C",'Mapa final'!$O$58),"")</f>
        <v/>
      </c>
      <c r="W34" s="69" t="str">
        <f>IF(AND('Mapa final'!$Y$59="Media",'Mapa final'!$AA$59="Moderado"),CONCATENATE("R9C",'Mapa final'!$O$59),"")</f>
        <v/>
      </c>
      <c r="X34" s="69" t="str">
        <f>IF(AND('Mapa final'!$Y$60="Media",'Mapa final'!$AA$60="Moderado"),CONCATENATE("R9C",'Mapa final'!$O$60),"")</f>
        <v/>
      </c>
      <c r="Y34" s="69" t="str">
        <f>IF(AND('Mapa final'!$Y$61="Media",'Mapa final'!$AA$61="Moderado"),CONCATENATE("R9C",'Mapa final'!$O$61),"")</f>
        <v/>
      </c>
      <c r="Z34" s="69" t="str">
        <f>IF(AND('Mapa final'!$Y$62="Media",'Mapa final'!$AA$62="Moderado"),CONCATENATE("R9C",'Mapa final'!$O$62),"")</f>
        <v/>
      </c>
      <c r="AA34" s="70"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8" t="str">
        <f>IF(AND('Mapa final'!$Y$60="Media",'Mapa final'!$AA$60="Mayor"),CONCATENATE("R9C",'Mapa final'!$O$60),"")</f>
        <v/>
      </c>
      <c r="AE34" s="58" t="str">
        <f>IF(AND('Mapa final'!$Y$61="Media",'Mapa final'!$AA$61="Mayor"),CONCATENATE("R9C",'Mapa final'!$O$61),"")</f>
        <v/>
      </c>
      <c r="AF34" s="58"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4"/>
      <c r="AO34" s="382"/>
      <c r="AP34" s="383"/>
      <c r="AQ34" s="383"/>
      <c r="AR34" s="383"/>
      <c r="AS34" s="383"/>
      <c r="AT34" s="3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251"/>
      <c r="C35" s="251"/>
      <c r="D35" s="252"/>
      <c r="E35" s="354"/>
      <c r="F35" s="355"/>
      <c r="G35" s="355"/>
      <c r="H35" s="355"/>
      <c r="I35" s="369"/>
      <c r="J35" s="68" t="str">
        <f>IF(AND('Mapa final'!$Y$64="Media",'Mapa final'!$AA$64="Leve"),CONCATENATE("R10C",'Mapa final'!$O$64),"")</f>
        <v/>
      </c>
      <c r="K35" s="69" t="str">
        <f>IF(AND('Mapa final'!$Y$65="Media",'Mapa final'!$AA$65="Leve"),CONCATENATE("R10C",'Mapa final'!$O$65),"")</f>
        <v/>
      </c>
      <c r="L35" s="69" t="str">
        <f>IF(AND('Mapa final'!$Y$66="Media",'Mapa final'!$AA$66="Leve"),CONCATENATE("R10C",'Mapa final'!$O$66),"")</f>
        <v/>
      </c>
      <c r="M35" s="69" t="str">
        <f>IF(AND('Mapa final'!$Y$67="Media",'Mapa final'!$AA$67="Leve"),CONCATENATE("R10C",'Mapa final'!$O$67),"")</f>
        <v/>
      </c>
      <c r="N35" s="69" t="str">
        <f>IF(AND('Mapa final'!$Y$68="Media",'Mapa final'!$AA$68="Leve"),CONCATENATE("R10C",'Mapa final'!$O$68),"")</f>
        <v/>
      </c>
      <c r="O35" s="70" t="str">
        <f>IF(AND('Mapa final'!$Y$69="Media",'Mapa final'!$AA$69="Leve"),CONCATENATE("R10C",'Mapa final'!$O$69),"")</f>
        <v/>
      </c>
      <c r="P35" s="68" t="str">
        <f>IF(AND('Mapa final'!$Y$64="Media",'Mapa final'!$AA$64="Menor"),CONCATENATE("R10C",'Mapa final'!$O$64),"")</f>
        <v/>
      </c>
      <c r="Q35" s="69" t="str">
        <f>IF(AND('Mapa final'!$Y$65="Media",'Mapa final'!$AA$65="Menor"),CONCATENATE("R10C",'Mapa final'!$O$65),"")</f>
        <v/>
      </c>
      <c r="R35" s="69" t="str">
        <f>IF(AND('Mapa final'!$Y$66="Media",'Mapa final'!$AA$66="Menor"),CONCATENATE("R10C",'Mapa final'!$O$66),"")</f>
        <v/>
      </c>
      <c r="S35" s="69" t="str">
        <f>IF(AND('Mapa final'!$Y$67="Media",'Mapa final'!$AA$67="Menor"),CONCATENATE("R10C",'Mapa final'!$O$67),"")</f>
        <v/>
      </c>
      <c r="T35" s="69" t="str">
        <f>IF(AND('Mapa final'!$Y$68="Media",'Mapa final'!$AA$68="Menor"),CONCATENATE("R10C",'Mapa final'!$O$68),"")</f>
        <v/>
      </c>
      <c r="U35" s="70" t="str">
        <f>IF(AND('Mapa final'!$Y$69="Media",'Mapa final'!$AA$69="Menor"),CONCATENATE("R10C",'Mapa final'!$O$69),"")</f>
        <v/>
      </c>
      <c r="V35" s="68" t="str">
        <f>IF(AND('Mapa final'!$Y$64="Media",'Mapa final'!$AA$64="Moderado"),CONCATENATE("R10C",'Mapa final'!$O$64),"")</f>
        <v/>
      </c>
      <c r="W35" s="69" t="str">
        <f>IF(AND('Mapa final'!$Y$65="Media",'Mapa final'!$AA$65="Moderado"),CONCATENATE("R10C",'Mapa final'!$O$65),"")</f>
        <v/>
      </c>
      <c r="X35" s="69" t="str">
        <f>IF(AND('Mapa final'!$Y$66="Media",'Mapa final'!$AA$66="Moderado"),CONCATENATE("R10C",'Mapa final'!$O$66),"")</f>
        <v/>
      </c>
      <c r="Y35" s="69" t="str">
        <f>IF(AND('Mapa final'!$Y$67="Media",'Mapa final'!$AA$67="Moderado"),CONCATENATE("R10C",'Mapa final'!$O$67),"")</f>
        <v/>
      </c>
      <c r="Z35" s="69" t="str">
        <f>IF(AND('Mapa final'!$Y$68="Media",'Mapa final'!$AA$68="Moderado"),CONCATENATE("R10C",'Mapa final'!$O$68),"")</f>
        <v/>
      </c>
      <c r="AA35" s="70" t="str">
        <f>IF(AND('Mapa final'!$Y$69="Media",'Mapa final'!$AA$69="Moderado"),CONCATENATE("R10C",'Mapa final'!$O$69),"")</f>
        <v/>
      </c>
      <c r="AB35" s="59" t="str">
        <f>IF(AND('Mapa final'!$Y$64="Media",'Mapa final'!$AA$64="Mayor"),CONCATENATE("R10C",'Mapa final'!$O$64),"")</f>
        <v/>
      </c>
      <c r="AC35" s="60" t="str">
        <f>IF(AND('Mapa final'!$Y$65="Media",'Mapa final'!$AA$65="Mayor"),CONCATENATE("R10C",'Mapa final'!$O$65),"")</f>
        <v/>
      </c>
      <c r="AD35" s="60" t="str">
        <f>IF(AND('Mapa final'!$Y$66="Media",'Mapa final'!$AA$66="Mayor"),CONCATENATE("R10C",'Mapa final'!$O$66),"")</f>
        <v/>
      </c>
      <c r="AE35" s="60" t="str">
        <f>IF(AND('Mapa final'!$Y$67="Media",'Mapa final'!$AA$67="Mayor"),CONCATENATE("R10C",'Mapa final'!$O$67),"")</f>
        <v/>
      </c>
      <c r="AF35" s="60" t="str">
        <f>IF(AND('Mapa final'!$Y$68="Media",'Mapa final'!$AA$68="Mayor"),CONCATENATE("R10C",'Mapa final'!$O$68),"")</f>
        <v/>
      </c>
      <c r="AG35" s="61" t="str">
        <f>IF(AND('Mapa final'!$Y$69="Media",'Mapa final'!$AA$69="Mayor"),CONCATENATE("R10C",'Mapa final'!$O$69),"")</f>
        <v/>
      </c>
      <c r="AH35" s="62" t="str">
        <f>IF(AND('Mapa final'!$Y$64="Media",'Mapa final'!$AA$64="Catastrófico"),CONCATENATE("R10C",'Mapa final'!$O$64),"")</f>
        <v/>
      </c>
      <c r="AI35" s="63" t="str">
        <f>IF(AND('Mapa final'!$Y$65="Media",'Mapa final'!$AA$65="Catastrófico"),CONCATENATE("R10C",'Mapa final'!$O$65),"")</f>
        <v/>
      </c>
      <c r="AJ35" s="63" t="str">
        <f>IF(AND('Mapa final'!$Y$66="Media",'Mapa final'!$AA$66="Catastrófico"),CONCATENATE("R10C",'Mapa final'!$O$66),"")</f>
        <v/>
      </c>
      <c r="AK35" s="63" t="str">
        <f>IF(AND('Mapa final'!$Y$67="Media",'Mapa final'!$AA$67="Catastrófico"),CONCATENATE("R10C",'Mapa final'!$O$67),"")</f>
        <v/>
      </c>
      <c r="AL35" s="63" t="str">
        <f>IF(AND('Mapa final'!$Y$68="Media",'Mapa final'!$AA$68="Catastrófico"),CONCATENATE("R10C",'Mapa final'!$O$68),"")</f>
        <v/>
      </c>
      <c r="AM35" s="64" t="str">
        <f>IF(AND('Mapa final'!$Y$69="Media",'Mapa final'!$AA$69="Catastrófico"),CONCATENATE("R10C",'Mapa final'!$O$69),"")</f>
        <v/>
      </c>
      <c r="AN35" s="84"/>
      <c r="AO35" s="385"/>
      <c r="AP35" s="386"/>
      <c r="AQ35" s="386"/>
      <c r="AR35" s="386"/>
      <c r="AS35" s="386"/>
      <c r="AT35" s="387"/>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251"/>
      <c r="C36" s="251"/>
      <c r="D36" s="252"/>
      <c r="E36" s="348" t="s">
        <v>114</v>
      </c>
      <c r="F36" s="349"/>
      <c r="G36" s="349"/>
      <c r="H36" s="349"/>
      <c r="I36" s="349"/>
      <c r="J36" s="74" t="str">
        <f ca="1">IF(AND('Mapa final'!$Y$10="Baja",'Mapa final'!$AA$10="Leve"),CONCATENATE("R1C",'Mapa final'!$O$10),"")</f>
        <v/>
      </c>
      <c r="K36" s="75" t="str">
        <f>IF(AND('Mapa final'!$Y$11="Baja",'Mapa final'!$AA$11="Leve"),CONCATENATE("R1C",'Mapa final'!$O$11),"")</f>
        <v/>
      </c>
      <c r="L36" s="75" t="str">
        <f>IF(AND('Mapa final'!$Y$12="Baja",'Mapa final'!$AA$12="Leve"),CONCATENATE("R1C",'Mapa final'!$O$12),"")</f>
        <v/>
      </c>
      <c r="M36" s="75" t="str">
        <f>IF(AND('Mapa final'!$Y$13="Baja",'Mapa final'!$AA$13="Leve"),CONCATENATE("R1C",'Mapa final'!$O$13),"")</f>
        <v/>
      </c>
      <c r="N36" s="75" t="str">
        <f>IF(AND('Mapa final'!$Y$14="Baja",'Mapa final'!$AA$14="Leve"),CONCATENATE("R1C",'Mapa final'!$O$14),"")</f>
        <v/>
      </c>
      <c r="O36" s="76" t="str">
        <f>IF(AND('Mapa final'!$Y$15="Baja",'Mapa final'!$AA$15="Leve"),CONCATENATE("R1C",'Mapa final'!$O$15),"")</f>
        <v/>
      </c>
      <c r="P36" s="65" t="str">
        <f ca="1">IF(AND('Mapa final'!$Y$10="Baja",'Mapa final'!$AA$10="Menor"),CONCATENATE("R1C",'Mapa final'!$O$10),"")</f>
        <v>R1C1</v>
      </c>
      <c r="Q36" s="66" t="str">
        <f>IF(AND('Mapa final'!$Y$11="Baja",'Mapa final'!$AA$11="Menor"),CONCATENATE("R1C",'Mapa final'!$O$11),"")</f>
        <v/>
      </c>
      <c r="R36" s="66" t="str">
        <f>IF(AND('Mapa final'!$Y$12="Baja",'Mapa final'!$AA$12="Menor"),CONCATENATE("R1C",'Mapa final'!$O$12),"")</f>
        <v/>
      </c>
      <c r="S36" s="66" t="str">
        <f>IF(AND('Mapa final'!$Y$13="Baja",'Mapa final'!$AA$13="Menor"),CONCATENATE("R1C",'Mapa final'!$O$13),"")</f>
        <v/>
      </c>
      <c r="T36" s="66" t="str">
        <f>IF(AND('Mapa final'!$Y$14="Baja",'Mapa final'!$AA$14="Menor"),CONCATENATE("R1C",'Mapa final'!$O$14),"")</f>
        <v/>
      </c>
      <c r="U36" s="67" t="str">
        <f>IF(AND('Mapa final'!$Y$15="Baja",'Mapa final'!$AA$15="Menor"),CONCATENATE("R1C",'Mapa final'!$O$15),"")</f>
        <v/>
      </c>
      <c r="V36" s="65" t="str">
        <f ca="1">IF(AND('Mapa final'!$Y$10="Baja",'Mapa final'!$AA$10="Moderado"),CONCATENATE("R1C",'Mapa final'!$O$10),"")</f>
        <v/>
      </c>
      <c r="W36" s="66" t="str">
        <f>IF(AND('Mapa final'!$Y$11="Baja",'Mapa final'!$AA$11="Moderado"),CONCATENATE("R1C",'Mapa final'!$O$11),"")</f>
        <v/>
      </c>
      <c r="X36" s="66" t="str">
        <f>IF(AND('Mapa final'!$Y$12="Baja",'Mapa final'!$AA$12="Moderado"),CONCATENATE("R1C",'Mapa final'!$O$12),"")</f>
        <v/>
      </c>
      <c r="Y36" s="66" t="str">
        <f>IF(AND('Mapa final'!$Y$13="Baja",'Mapa final'!$AA$13="Moderado"),CONCATENATE("R1C",'Mapa final'!$O$13),"")</f>
        <v/>
      </c>
      <c r="Z36" s="66" t="str">
        <f>IF(AND('Mapa final'!$Y$14="Baja",'Mapa final'!$AA$14="Moderado"),CONCATENATE("R1C",'Mapa final'!$O$14),"")</f>
        <v/>
      </c>
      <c r="AA36" s="67" t="str">
        <f>IF(AND('Mapa final'!$Y$15="Baja",'Mapa final'!$AA$15="Moderado"),CONCATENATE("R1C",'Mapa final'!$O$15),"")</f>
        <v/>
      </c>
      <c r="AB36" s="46" t="str">
        <f ca="1">IF(AND('Mapa final'!$Y$10="Baja",'Mapa final'!$AA$10="Mayor"),CONCATENATE("R1C",'Mapa final'!$O$10),"")</f>
        <v/>
      </c>
      <c r="AC36" s="47" t="str">
        <f>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4"/>
      <c r="AO36" s="370" t="s">
        <v>82</v>
      </c>
      <c r="AP36" s="371"/>
      <c r="AQ36" s="371"/>
      <c r="AR36" s="371"/>
      <c r="AS36" s="371"/>
      <c r="AT36" s="372"/>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251"/>
      <c r="C37" s="251"/>
      <c r="D37" s="252"/>
      <c r="E37" s="350"/>
      <c r="F37" s="351"/>
      <c r="G37" s="351"/>
      <c r="H37" s="351"/>
      <c r="I37" s="351"/>
      <c r="J37" s="77" t="str">
        <f ca="1">IF(AND('Mapa final'!$Y$16="Baja",'Mapa final'!$AA$16="Leve"),CONCATENATE("R2C",'Mapa final'!$O$16),"")</f>
        <v>R2C1</v>
      </c>
      <c r="K37" s="78" t="str">
        <f>IF(AND('Mapa final'!$Y$17="Baja",'Mapa final'!$AA$17="Leve"),CONCATENATE("R2C",'Mapa final'!$O$17),"")</f>
        <v/>
      </c>
      <c r="L37" s="78" t="str">
        <f>IF(AND('Mapa final'!$Y$18="Baja",'Mapa final'!$AA$18="Leve"),CONCATENATE("R2C",'Mapa final'!$O$18),"")</f>
        <v/>
      </c>
      <c r="M37" s="78" t="str">
        <f>IF(AND('Mapa final'!$Y$19="Baja",'Mapa final'!$AA$19="Leve"),CONCATENATE("R2C",'Mapa final'!$O$19),"")</f>
        <v/>
      </c>
      <c r="N37" s="78" t="str">
        <f>IF(AND('Mapa final'!$Y$20="Baja",'Mapa final'!$AA$20="Leve"),CONCATENATE("R2C",'Mapa final'!$O$20),"")</f>
        <v/>
      </c>
      <c r="O37" s="79" t="str">
        <f>IF(AND('Mapa final'!$Y$21="Baja",'Mapa final'!$AA$21="Leve"),CONCATENATE("R2C",'Mapa final'!$O$21),"")</f>
        <v/>
      </c>
      <c r="P37" s="68" t="str">
        <f ca="1">IF(AND('Mapa final'!$Y$16="Baja",'Mapa final'!$AA$16="Menor"),CONCATENATE("R2C",'Mapa final'!$O$16),"")</f>
        <v/>
      </c>
      <c r="Q37" s="69" t="str">
        <f>IF(AND('Mapa final'!$Y$17="Baja",'Mapa final'!$AA$17="Menor"),CONCATENATE("R2C",'Mapa final'!$O$17),"")</f>
        <v/>
      </c>
      <c r="R37" s="69" t="str">
        <f>IF(AND('Mapa final'!$Y$18="Baja",'Mapa final'!$AA$18="Menor"),CONCATENATE("R2C",'Mapa final'!$O$18),"")</f>
        <v/>
      </c>
      <c r="S37" s="69" t="str">
        <f>IF(AND('Mapa final'!$Y$19="Baja",'Mapa final'!$AA$19="Menor"),CONCATENATE("R2C",'Mapa final'!$O$19),"")</f>
        <v/>
      </c>
      <c r="T37" s="69" t="str">
        <f>IF(AND('Mapa final'!$Y$20="Baja",'Mapa final'!$AA$20="Menor"),CONCATENATE("R2C",'Mapa final'!$O$20),"")</f>
        <v/>
      </c>
      <c r="U37" s="70" t="str">
        <f>IF(AND('Mapa final'!$Y$21="Baja",'Mapa final'!$AA$21="Menor"),CONCATENATE("R2C",'Mapa final'!$O$21),"")</f>
        <v/>
      </c>
      <c r="V37" s="68" t="str">
        <f ca="1">IF(AND('Mapa final'!$Y$16="Baja",'Mapa final'!$AA$16="Moderado"),CONCATENATE("R2C",'Mapa final'!$O$16),"")</f>
        <v/>
      </c>
      <c r="W37" s="69" t="str">
        <f>IF(AND('Mapa final'!$Y$17="Baja",'Mapa final'!$AA$17="Moderado"),CONCATENATE("R2C",'Mapa final'!$O$17),"")</f>
        <v/>
      </c>
      <c r="X37" s="69" t="str">
        <f>IF(AND('Mapa final'!$Y$18="Baja",'Mapa final'!$AA$18="Moderado"),CONCATENATE("R2C",'Mapa final'!$O$18),"")</f>
        <v/>
      </c>
      <c r="Y37" s="69" t="str">
        <f>IF(AND('Mapa final'!$Y$19="Baja",'Mapa final'!$AA$19="Moderado"),CONCATENATE("R2C",'Mapa final'!$O$19),"")</f>
        <v/>
      </c>
      <c r="Z37" s="69" t="str">
        <f>IF(AND('Mapa final'!$Y$20="Baja",'Mapa final'!$AA$20="Moderado"),CONCATENATE("R2C",'Mapa final'!$O$20),"")</f>
        <v/>
      </c>
      <c r="AA37" s="70" t="str">
        <f>IF(AND('Mapa final'!$Y$21="Baja",'Mapa final'!$AA$21="Moderado"),CONCATENATE("R2C",'Mapa final'!$O$21),"")</f>
        <v/>
      </c>
      <c r="AB37" s="52" t="str">
        <f ca="1">IF(AND('Mapa final'!$Y$16="Baja",'Mapa final'!$AA$16="Mayor"),CONCATENATE("R2C",'Mapa final'!$O$16),"")</f>
        <v/>
      </c>
      <c r="AC37" s="53" t="str">
        <f>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 ca="1">IF(AND('Mapa final'!$Y$16="Baja",'Mapa final'!$AA$16="Catastrófico"),CONCATENATE("R2C",'Mapa final'!$O$16),"")</f>
        <v/>
      </c>
      <c r="AI37" s="56" t="str">
        <f>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4"/>
      <c r="AO37" s="373"/>
      <c r="AP37" s="374"/>
      <c r="AQ37" s="374"/>
      <c r="AR37" s="374"/>
      <c r="AS37" s="374"/>
      <c r="AT37" s="375"/>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251"/>
      <c r="C38" s="251"/>
      <c r="D38" s="252"/>
      <c r="E38" s="352"/>
      <c r="F38" s="353"/>
      <c r="G38" s="353"/>
      <c r="H38" s="353"/>
      <c r="I38" s="351"/>
      <c r="J38" s="77" t="str">
        <f ca="1">IF(AND('Mapa final'!$Y$22="Baja",'Mapa final'!$AA$22="Leve"),CONCATENATE("R3C",'Mapa final'!$O$22),"")</f>
        <v>R3C1</v>
      </c>
      <c r="K38" s="78" t="str">
        <f>IF(AND('Mapa final'!$Y$23="Baja",'Mapa final'!$AA$23="Leve"),CONCATENATE("R3C",'Mapa final'!$O$23),"")</f>
        <v/>
      </c>
      <c r="L38" s="78" t="str">
        <f>IF(AND('Mapa final'!$Y$24="Baja",'Mapa final'!$AA$24="Leve"),CONCATENATE("R3C",'Mapa final'!$O$24),"")</f>
        <v/>
      </c>
      <c r="M38" s="78" t="str">
        <f>IF(AND('Mapa final'!$Y$25="Baja",'Mapa final'!$AA$25="Leve"),CONCATENATE("R3C",'Mapa final'!$O$25),"")</f>
        <v/>
      </c>
      <c r="N38" s="78" t="str">
        <f>IF(AND('Mapa final'!$Y$26="Baja",'Mapa final'!$AA$26="Leve"),CONCATENATE("R3C",'Mapa final'!$O$26),"")</f>
        <v/>
      </c>
      <c r="O38" s="79" t="str">
        <f>IF(AND('Mapa final'!$Y$27="Baja",'Mapa final'!$AA$27="Leve"),CONCATENATE("R3C",'Mapa final'!$O$27),"")</f>
        <v/>
      </c>
      <c r="P38" s="68" t="str">
        <f ca="1">IF(AND('Mapa final'!$Y$22="Baja",'Mapa final'!$AA$22="Menor"),CONCATENATE("R3C",'Mapa final'!$O$22),"")</f>
        <v/>
      </c>
      <c r="Q38" s="69" t="str">
        <f>IF(AND('Mapa final'!$Y$23="Baja",'Mapa final'!$AA$23="Menor"),CONCATENATE("R3C",'Mapa final'!$O$23),"")</f>
        <v/>
      </c>
      <c r="R38" s="69" t="str">
        <f>IF(AND('Mapa final'!$Y$24="Baja",'Mapa final'!$AA$24="Menor"),CONCATENATE("R3C",'Mapa final'!$O$24),"")</f>
        <v/>
      </c>
      <c r="S38" s="69" t="str">
        <f>IF(AND('Mapa final'!$Y$25="Baja",'Mapa final'!$AA$25="Menor"),CONCATENATE("R3C",'Mapa final'!$O$25),"")</f>
        <v/>
      </c>
      <c r="T38" s="69" t="str">
        <f>IF(AND('Mapa final'!$Y$26="Baja",'Mapa final'!$AA$26="Menor"),CONCATENATE("R3C",'Mapa final'!$O$26),"")</f>
        <v/>
      </c>
      <c r="U38" s="70" t="str">
        <f>IF(AND('Mapa final'!$Y$27="Baja",'Mapa final'!$AA$27="Menor"),CONCATENATE("R3C",'Mapa final'!$O$27),"")</f>
        <v/>
      </c>
      <c r="V38" s="68" t="str">
        <f ca="1">IF(AND('Mapa final'!$Y$22="Baja",'Mapa final'!$AA$22="Moderado"),CONCATENATE("R3C",'Mapa final'!$O$22),"")</f>
        <v/>
      </c>
      <c r="W38" s="69" t="str">
        <f>IF(AND('Mapa final'!$Y$23="Baja",'Mapa final'!$AA$23="Moderado"),CONCATENATE("R3C",'Mapa final'!$O$23),"")</f>
        <v/>
      </c>
      <c r="X38" s="69" t="str">
        <f>IF(AND('Mapa final'!$Y$24="Baja",'Mapa final'!$AA$24="Moderado"),CONCATENATE("R3C",'Mapa final'!$O$24),"")</f>
        <v/>
      </c>
      <c r="Y38" s="69" t="str">
        <f>IF(AND('Mapa final'!$Y$25="Baja",'Mapa final'!$AA$25="Moderado"),CONCATENATE("R3C",'Mapa final'!$O$25),"")</f>
        <v/>
      </c>
      <c r="Z38" s="69" t="str">
        <f>IF(AND('Mapa final'!$Y$26="Baja",'Mapa final'!$AA$26="Moderado"),CONCATENATE("R3C",'Mapa final'!$O$26),"")</f>
        <v/>
      </c>
      <c r="AA38" s="70" t="str">
        <f>IF(AND('Mapa final'!$Y$27="Baja",'Mapa final'!$AA$27="Moderado"),CONCATENATE("R3C",'Mapa final'!$O$27),"")</f>
        <v/>
      </c>
      <c r="AB38" s="52" t="str">
        <f ca="1">IF(AND('Mapa final'!$Y$22="Baja",'Mapa final'!$AA$22="Mayor"),CONCATENATE("R3C",'Mapa final'!$O$22),"")</f>
        <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 ca="1">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4"/>
      <c r="AO38" s="373"/>
      <c r="AP38" s="374"/>
      <c r="AQ38" s="374"/>
      <c r="AR38" s="374"/>
      <c r="AS38" s="374"/>
      <c r="AT38" s="375"/>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251"/>
      <c r="C39" s="251"/>
      <c r="D39" s="252"/>
      <c r="E39" s="352"/>
      <c r="F39" s="353"/>
      <c r="G39" s="353"/>
      <c r="H39" s="353"/>
      <c r="I39" s="351"/>
      <c r="J39" s="77" t="str">
        <f>IF(AND('Mapa final'!$Y$28="Baja",'Mapa final'!$AA$28="Leve"),CONCATENATE("R4C",'Mapa final'!$O$28),"")</f>
        <v/>
      </c>
      <c r="K39" s="78" t="str">
        <f>IF(AND('Mapa final'!$Y$29="Baja",'Mapa final'!$AA$29="Leve"),CONCATENATE("R4C",'Mapa final'!$O$29),"")</f>
        <v/>
      </c>
      <c r="L39" s="78" t="str">
        <f>IF(AND('Mapa final'!$Y$30="Baja",'Mapa final'!$AA$30="Leve"),CONCATENATE("R4C",'Mapa final'!$O$30),"")</f>
        <v/>
      </c>
      <c r="M39" s="78" t="str">
        <f>IF(AND('Mapa final'!$Y$31="Baja",'Mapa final'!$AA$31="Leve"),CONCATENATE("R4C",'Mapa final'!$O$31),"")</f>
        <v/>
      </c>
      <c r="N39" s="78" t="str">
        <f>IF(AND('Mapa final'!$Y$32="Baja",'Mapa final'!$AA$32="Leve"),CONCATENATE("R4C",'Mapa final'!$O$32),"")</f>
        <v/>
      </c>
      <c r="O39" s="79" t="str">
        <f>IF(AND('Mapa final'!$Y$33="Baja",'Mapa final'!$AA$33="Leve"),CONCATENATE("R4C",'Mapa final'!$O$33),"")</f>
        <v/>
      </c>
      <c r="P39" s="68" t="str">
        <f>IF(AND('Mapa final'!$Y$28="Baja",'Mapa final'!$AA$28="Menor"),CONCATENATE("R4C",'Mapa final'!$O$28),"")</f>
        <v/>
      </c>
      <c r="Q39" s="69" t="str">
        <f>IF(AND('Mapa final'!$Y$29="Baja",'Mapa final'!$AA$29="Menor"),CONCATENATE("R4C",'Mapa final'!$O$29),"")</f>
        <v/>
      </c>
      <c r="R39" s="69" t="str">
        <f>IF(AND('Mapa final'!$Y$30="Baja",'Mapa final'!$AA$30="Menor"),CONCATENATE("R4C",'Mapa final'!$O$30),"")</f>
        <v/>
      </c>
      <c r="S39" s="69" t="str">
        <f>IF(AND('Mapa final'!$Y$31="Baja",'Mapa final'!$AA$31="Menor"),CONCATENATE("R4C",'Mapa final'!$O$31),"")</f>
        <v/>
      </c>
      <c r="T39" s="69" t="str">
        <f>IF(AND('Mapa final'!$Y$32="Baja",'Mapa final'!$AA$32="Menor"),CONCATENATE("R4C",'Mapa final'!$O$32),"")</f>
        <v/>
      </c>
      <c r="U39" s="70" t="str">
        <f>IF(AND('Mapa final'!$Y$33="Baja",'Mapa final'!$AA$33="Menor"),CONCATENATE("R4C",'Mapa final'!$O$33),"")</f>
        <v/>
      </c>
      <c r="V39" s="68" t="str">
        <f>IF(AND('Mapa final'!$Y$28="Baja",'Mapa final'!$AA$28="Moderado"),CONCATENATE("R4C",'Mapa final'!$O$28),"")</f>
        <v/>
      </c>
      <c r="W39" s="69" t="str">
        <f>IF(AND('Mapa final'!$Y$29="Baja",'Mapa final'!$AA$29="Moderado"),CONCATENATE("R4C",'Mapa final'!$O$29),"")</f>
        <v/>
      </c>
      <c r="X39" s="69" t="str">
        <f>IF(AND('Mapa final'!$Y$30="Baja",'Mapa final'!$AA$30="Moderado"),CONCATENATE("R4C",'Mapa final'!$O$30),"")</f>
        <v/>
      </c>
      <c r="Y39" s="69" t="str">
        <f>IF(AND('Mapa final'!$Y$31="Baja",'Mapa final'!$AA$31="Moderado"),CONCATENATE("R4C",'Mapa final'!$O$31),"")</f>
        <v/>
      </c>
      <c r="Z39" s="69" t="str">
        <f>IF(AND('Mapa final'!$Y$32="Baja",'Mapa final'!$AA$32="Moderado"),CONCATENATE("R4C",'Mapa final'!$O$32),"")</f>
        <v/>
      </c>
      <c r="AA39" s="70" t="str">
        <f>IF(AND('Mapa final'!$Y$33="Baja",'Mapa final'!$AA$33="Moderado"),CONCATENATE("R4C",'Mapa final'!$O$33),"")</f>
        <v/>
      </c>
      <c r="AB39" s="52" t="str">
        <f>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4"/>
      <c r="AO39" s="373"/>
      <c r="AP39" s="374"/>
      <c r="AQ39" s="374"/>
      <c r="AR39" s="374"/>
      <c r="AS39" s="374"/>
      <c r="AT39" s="375"/>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251"/>
      <c r="C40" s="251"/>
      <c r="D40" s="252"/>
      <c r="E40" s="352"/>
      <c r="F40" s="353"/>
      <c r="G40" s="353"/>
      <c r="H40" s="353"/>
      <c r="I40" s="351"/>
      <c r="J40" s="77" t="str">
        <f>IF(AND('Mapa final'!$Y$34="Baja",'Mapa final'!$AA$34="Leve"),CONCATENATE("R5C",'Mapa final'!$O$34),"")</f>
        <v/>
      </c>
      <c r="K40" s="78" t="str">
        <f>IF(AND('Mapa final'!$Y$35="Baja",'Mapa final'!$AA$35="Leve"),CONCATENATE("R5C",'Mapa final'!$O$35),"")</f>
        <v/>
      </c>
      <c r="L40" s="78" t="str">
        <f>IF(AND('Mapa final'!$Y$36="Baja",'Mapa final'!$AA$36="Leve"),CONCATENATE("R5C",'Mapa final'!$O$36),"")</f>
        <v/>
      </c>
      <c r="M40" s="78" t="str">
        <f>IF(AND('Mapa final'!$Y$37="Baja",'Mapa final'!$AA$37="Leve"),CONCATENATE("R5C",'Mapa final'!$O$37),"")</f>
        <v/>
      </c>
      <c r="N40" s="78" t="str">
        <f>IF(AND('Mapa final'!$Y$38="Baja",'Mapa final'!$AA$38="Leve"),CONCATENATE("R5C",'Mapa final'!$O$38),"")</f>
        <v/>
      </c>
      <c r="O40" s="79" t="str">
        <f>IF(AND('Mapa final'!$Y$39="Baja",'Mapa final'!$AA$39="Leve"),CONCATENATE("R5C",'Mapa final'!$O$39),"")</f>
        <v/>
      </c>
      <c r="P40" s="68" t="str">
        <f>IF(AND('Mapa final'!$Y$34="Baja",'Mapa final'!$AA$34="Menor"),CONCATENATE("R5C",'Mapa final'!$O$34),"")</f>
        <v/>
      </c>
      <c r="Q40" s="69" t="str">
        <f>IF(AND('Mapa final'!$Y$35="Baja",'Mapa final'!$AA$35="Menor"),CONCATENATE("R5C",'Mapa final'!$O$35),"")</f>
        <v/>
      </c>
      <c r="R40" s="69" t="str">
        <f>IF(AND('Mapa final'!$Y$36="Baja",'Mapa final'!$AA$36="Menor"),CONCATENATE("R5C",'Mapa final'!$O$36),"")</f>
        <v/>
      </c>
      <c r="S40" s="69" t="str">
        <f>IF(AND('Mapa final'!$Y$37="Baja",'Mapa final'!$AA$37="Menor"),CONCATENATE("R5C",'Mapa final'!$O$37),"")</f>
        <v/>
      </c>
      <c r="T40" s="69" t="str">
        <f>IF(AND('Mapa final'!$Y$38="Baja",'Mapa final'!$AA$38="Menor"),CONCATENATE("R5C",'Mapa final'!$O$38),"")</f>
        <v/>
      </c>
      <c r="U40" s="70" t="str">
        <f>IF(AND('Mapa final'!$Y$39="Baja",'Mapa final'!$AA$39="Menor"),CONCATENATE("R5C",'Mapa final'!$O$39),"")</f>
        <v/>
      </c>
      <c r="V40" s="68" t="str">
        <f>IF(AND('Mapa final'!$Y$34="Baja",'Mapa final'!$AA$34="Moderado"),CONCATENATE("R5C",'Mapa final'!$O$34),"")</f>
        <v/>
      </c>
      <c r="W40" s="69" t="str">
        <f>IF(AND('Mapa final'!$Y$35="Baja",'Mapa final'!$AA$35="Moderado"),CONCATENATE("R5C",'Mapa final'!$O$35),"")</f>
        <v/>
      </c>
      <c r="X40" s="69" t="str">
        <f>IF(AND('Mapa final'!$Y$36="Baja",'Mapa final'!$AA$36="Moderado"),CONCATENATE("R5C",'Mapa final'!$O$36),"")</f>
        <v/>
      </c>
      <c r="Y40" s="69" t="str">
        <f>IF(AND('Mapa final'!$Y$37="Baja",'Mapa final'!$AA$37="Moderado"),CONCATENATE("R5C",'Mapa final'!$O$37),"")</f>
        <v/>
      </c>
      <c r="Z40" s="69" t="str">
        <f>IF(AND('Mapa final'!$Y$38="Baja",'Mapa final'!$AA$38="Moderado"),CONCATENATE("R5C",'Mapa final'!$O$38),"")</f>
        <v/>
      </c>
      <c r="AA40" s="70" t="str">
        <f>IF(AND('Mapa final'!$Y$39="Baja",'Mapa final'!$AA$39="Moderado"),CONCATENATE("R5C",'Mapa final'!$O$39),"")</f>
        <v/>
      </c>
      <c r="AB40" s="52" t="str">
        <f>IF(AND('Mapa final'!$Y$34="Baja",'Mapa final'!$AA$34="Mayor"),CONCATENATE("R5C",'Mapa final'!$O$34),"")</f>
        <v/>
      </c>
      <c r="AC40" s="53" t="str">
        <f>IF(AND('Mapa final'!$Y$35="Baja",'Mapa final'!$AA$35="Mayor"),CONCATENATE("R5C",'Mapa final'!$O$35),"")</f>
        <v/>
      </c>
      <c r="AD40" s="58" t="str">
        <f>IF(AND('Mapa final'!$Y$36="Baja",'Mapa final'!$AA$36="Mayor"),CONCATENATE("R5C",'Mapa final'!$O$36),"")</f>
        <v/>
      </c>
      <c r="AE40" s="58" t="str">
        <f>IF(AND('Mapa final'!$Y$37="Baja",'Mapa final'!$AA$37="Mayor"),CONCATENATE("R5C",'Mapa final'!$O$37),"")</f>
        <v/>
      </c>
      <c r="AF40" s="58" t="str">
        <f>IF(AND('Mapa final'!$Y$38="Baja",'Mapa final'!$AA$38="Mayor"),CONCATENATE("R5C",'Mapa final'!$O$38),"")</f>
        <v/>
      </c>
      <c r="AG40" s="54" t="str">
        <f>IF(AND('Mapa final'!$Y$39="Baja",'Mapa final'!$AA$39="Mayor"),CONCATENATE("R5C",'Mapa final'!$O$39),"")</f>
        <v/>
      </c>
      <c r="AH40" s="55" t="str">
        <f>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4"/>
      <c r="AO40" s="373"/>
      <c r="AP40" s="374"/>
      <c r="AQ40" s="374"/>
      <c r="AR40" s="374"/>
      <c r="AS40" s="374"/>
      <c r="AT40" s="375"/>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251"/>
      <c r="C41" s="251"/>
      <c r="D41" s="252"/>
      <c r="E41" s="352"/>
      <c r="F41" s="353"/>
      <c r="G41" s="353"/>
      <c r="H41" s="353"/>
      <c r="I41" s="351"/>
      <c r="J41" s="77" t="str">
        <f>IF(AND('Mapa final'!$Y$40="Baja",'Mapa final'!$AA$40="Leve"),CONCATENATE("R6C",'Mapa final'!$O$40),"")</f>
        <v/>
      </c>
      <c r="K41" s="78" t="str">
        <f>IF(AND('Mapa final'!$Y$41="Baja",'Mapa final'!$AA$41="Leve"),CONCATENATE("R6C",'Mapa final'!$O$41),"")</f>
        <v/>
      </c>
      <c r="L41" s="78" t="str">
        <f>IF(AND('Mapa final'!$Y$42="Baja",'Mapa final'!$AA$42="Leve"),CONCATENATE("R6C",'Mapa final'!$O$42),"")</f>
        <v/>
      </c>
      <c r="M41" s="78" t="str">
        <f>IF(AND('Mapa final'!$Y$43="Baja",'Mapa final'!$AA$43="Leve"),CONCATENATE("R6C",'Mapa final'!$O$43),"")</f>
        <v/>
      </c>
      <c r="N41" s="78" t="str">
        <f>IF(AND('Mapa final'!$Y$44="Baja",'Mapa final'!$AA$44="Leve"),CONCATENATE("R6C",'Mapa final'!$O$44),"")</f>
        <v/>
      </c>
      <c r="O41" s="79" t="str">
        <f>IF(AND('Mapa final'!$Y$45="Baja",'Mapa final'!$AA$45="Leve"),CONCATENATE("R6C",'Mapa final'!$O$45),"")</f>
        <v/>
      </c>
      <c r="P41" s="68" t="str">
        <f>IF(AND('Mapa final'!$Y$40="Baja",'Mapa final'!$AA$40="Menor"),CONCATENATE("R6C",'Mapa final'!$O$40),"")</f>
        <v/>
      </c>
      <c r="Q41" s="69" t="str">
        <f>IF(AND('Mapa final'!$Y$41="Baja",'Mapa final'!$AA$41="Menor"),CONCATENATE("R6C",'Mapa final'!$O$41),"")</f>
        <v/>
      </c>
      <c r="R41" s="69" t="str">
        <f>IF(AND('Mapa final'!$Y$42="Baja",'Mapa final'!$AA$42="Menor"),CONCATENATE("R6C",'Mapa final'!$O$42),"")</f>
        <v/>
      </c>
      <c r="S41" s="69" t="str">
        <f>IF(AND('Mapa final'!$Y$43="Baja",'Mapa final'!$AA$43="Menor"),CONCATENATE("R6C",'Mapa final'!$O$43),"")</f>
        <v/>
      </c>
      <c r="T41" s="69" t="str">
        <f>IF(AND('Mapa final'!$Y$44="Baja",'Mapa final'!$AA$44="Menor"),CONCATENATE("R6C",'Mapa final'!$O$44),"")</f>
        <v/>
      </c>
      <c r="U41" s="70" t="str">
        <f>IF(AND('Mapa final'!$Y$45="Baja",'Mapa final'!$AA$45="Menor"),CONCATENATE("R6C",'Mapa final'!$O$45),"")</f>
        <v/>
      </c>
      <c r="V41" s="68" t="str">
        <f>IF(AND('Mapa final'!$Y$40="Baja",'Mapa final'!$AA$40="Moderado"),CONCATENATE("R6C",'Mapa final'!$O$40),"")</f>
        <v/>
      </c>
      <c r="W41" s="69" t="str">
        <f>IF(AND('Mapa final'!$Y$41="Baja",'Mapa final'!$AA$41="Moderado"),CONCATENATE("R6C",'Mapa final'!$O$41),"")</f>
        <v/>
      </c>
      <c r="X41" s="69" t="str">
        <f>IF(AND('Mapa final'!$Y$42="Baja",'Mapa final'!$AA$42="Moderado"),CONCATENATE("R6C",'Mapa final'!$O$42),"")</f>
        <v/>
      </c>
      <c r="Y41" s="69" t="str">
        <f>IF(AND('Mapa final'!$Y$43="Baja",'Mapa final'!$AA$43="Moderado"),CONCATENATE("R6C",'Mapa final'!$O$43),"")</f>
        <v/>
      </c>
      <c r="Z41" s="69" t="str">
        <f>IF(AND('Mapa final'!$Y$44="Baja",'Mapa final'!$AA$44="Moderado"),CONCATENATE("R6C",'Mapa final'!$O$44),"")</f>
        <v/>
      </c>
      <c r="AA41" s="70" t="str">
        <f>IF(AND('Mapa final'!$Y$45="Baja",'Mapa final'!$AA$45="Moderado"),CONCATENATE("R6C",'Mapa final'!$O$45),"")</f>
        <v/>
      </c>
      <c r="AB41" s="52" t="str">
        <f>IF(AND('Mapa final'!$Y$40="Baja",'Mapa final'!$AA$40="Mayor"),CONCATENATE("R6C",'Mapa final'!$O$40),"")</f>
        <v/>
      </c>
      <c r="AC41" s="53" t="str">
        <f>IF(AND('Mapa final'!$Y$41="Baja",'Mapa final'!$AA$41="Mayor"),CONCATENATE("R6C",'Mapa final'!$O$41),"")</f>
        <v/>
      </c>
      <c r="AD41" s="58" t="str">
        <f>IF(AND('Mapa final'!$Y$42="Baja",'Mapa final'!$AA$42="Mayor"),CONCATENATE("R6C",'Mapa final'!$O$42),"")</f>
        <v/>
      </c>
      <c r="AE41" s="58" t="str">
        <f>IF(AND('Mapa final'!$Y$43="Baja",'Mapa final'!$AA$43="Mayor"),CONCATENATE("R6C",'Mapa final'!$O$43),"")</f>
        <v/>
      </c>
      <c r="AF41" s="58" t="str">
        <f>IF(AND('Mapa final'!$Y$44="Baja",'Mapa final'!$AA$44="Mayor"),CONCATENATE("R6C",'Mapa final'!$O$44),"")</f>
        <v/>
      </c>
      <c r="AG41" s="54" t="str">
        <f>IF(AND('Mapa final'!$Y$45="Baja",'Mapa final'!$AA$45="Mayor"),CONCATENATE("R6C",'Mapa final'!$O$45),"")</f>
        <v/>
      </c>
      <c r="AH41" s="55" t="str">
        <f>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4"/>
      <c r="AO41" s="373"/>
      <c r="AP41" s="374"/>
      <c r="AQ41" s="374"/>
      <c r="AR41" s="374"/>
      <c r="AS41" s="374"/>
      <c r="AT41" s="375"/>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251"/>
      <c r="C42" s="251"/>
      <c r="D42" s="252"/>
      <c r="E42" s="352"/>
      <c r="F42" s="353"/>
      <c r="G42" s="353"/>
      <c r="H42" s="353"/>
      <c r="I42" s="351"/>
      <c r="J42" s="77" t="str">
        <f>IF(AND('Mapa final'!$Y$46="Baja",'Mapa final'!$AA$46="Leve"),CONCATENATE("R7C",'Mapa final'!$O$46),"")</f>
        <v/>
      </c>
      <c r="K42" s="78" t="str">
        <f>IF(AND('Mapa final'!$Y$47="Baja",'Mapa final'!$AA$47="Leve"),CONCATENATE("R7C",'Mapa final'!$O$47),"")</f>
        <v/>
      </c>
      <c r="L42" s="78" t="str">
        <f>IF(AND('Mapa final'!$Y$48="Baja",'Mapa final'!$AA$48="Leve"),CONCATENATE("R7C",'Mapa final'!$O$48),"")</f>
        <v/>
      </c>
      <c r="M42" s="78" t="str">
        <f>IF(AND('Mapa final'!$Y$49="Baja",'Mapa final'!$AA$49="Leve"),CONCATENATE("R7C",'Mapa final'!$O$49),"")</f>
        <v/>
      </c>
      <c r="N42" s="78" t="str">
        <f>IF(AND('Mapa final'!$Y$50="Baja",'Mapa final'!$AA$50="Leve"),CONCATENATE("R7C",'Mapa final'!$O$50),"")</f>
        <v/>
      </c>
      <c r="O42" s="79" t="str">
        <f>IF(AND('Mapa final'!$Y$51="Baja",'Mapa final'!$AA$51="Leve"),CONCATENATE("R7C",'Mapa final'!$O$51),"")</f>
        <v/>
      </c>
      <c r="P42" s="68" t="str">
        <f>IF(AND('Mapa final'!$Y$46="Baja",'Mapa final'!$AA$46="Menor"),CONCATENATE("R7C",'Mapa final'!$O$46),"")</f>
        <v/>
      </c>
      <c r="Q42" s="69" t="str">
        <f>IF(AND('Mapa final'!$Y$47="Baja",'Mapa final'!$AA$47="Menor"),CONCATENATE("R7C",'Mapa final'!$O$47),"")</f>
        <v/>
      </c>
      <c r="R42" s="69" t="str">
        <f>IF(AND('Mapa final'!$Y$48="Baja",'Mapa final'!$AA$48="Menor"),CONCATENATE("R7C",'Mapa final'!$O$48),"")</f>
        <v/>
      </c>
      <c r="S42" s="69" t="str">
        <f>IF(AND('Mapa final'!$Y$49="Baja",'Mapa final'!$AA$49="Menor"),CONCATENATE("R7C",'Mapa final'!$O$49),"")</f>
        <v/>
      </c>
      <c r="T42" s="69" t="str">
        <f>IF(AND('Mapa final'!$Y$50="Baja",'Mapa final'!$AA$50="Menor"),CONCATENATE("R7C",'Mapa final'!$O$50),"")</f>
        <v/>
      </c>
      <c r="U42" s="70" t="str">
        <f>IF(AND('Mapa final'!$Y$51="Baja",'Mapa final'!$AA$51="Menor"),CONCATENATE("R7C",'Mapa final'!$O$51),"")</f>
        <v/>
      </c>
      <c r="V42" s="68" t="str">
        <f>IF(AND('Mapa final'!$Y$46="Baja",'Mapa final'!$AA$46="Moderado"),CONCATENATE("R7C",'Mapa final'!$O$46),"")</f>
        <v/>
      </c>
      <c r="W42" s="69" t="str">
        <f>IF(AND('Mapa final'!$Y$47="Baja",'Mapa final'!$AA$47="Moderado"),CONCATENATE("R7C",'Mapa final'!$O$47),"")</f>
        <v/>
      </c>
      <c r="X42" s="69" t="str">
        <f>IF(AND('Mapa final'!$Y$48="Baja",'Mapa final'!$AA$48="Moderado"),CONCATENATE("R7C",'Mapa final'!$O$48),"")</f>
        <v/>
      </c>
      <c r="Y42" s="69" t="str">
        <f>IF(AND('Mapa final'!$Y$49="Baja",'Mapa final'!$AA$49="Moderado"),CONCATENATE("R7C",'Mapa final'!$O$49),"")</f>
        <v/>
      </c>
      <c r="Z42" s="69" t="str">
        <f>IF(AND('Mapa final'!$Y$50="Baja",'Mapa final'!$AA$50="Moderado"),CONCATENATE("R7C",'Mapa final'!$O$50),"")</f>
        <v/>
      </c>
      <c r="AA42" s="70" t="str">
        <f>IF(AND('Mapa final'!$Y$51="Baja",'Mapa final'!$AA$51="Moderado"),CONCATENATE("R7C",'Mapa final'!$O$51),"")</f>
        <v/>
      </c>
      <c r="AB42" s="52" t="str">
        <f>IF(AND('Mapa final'!$Y$46="Baja",'Mapa final'!$AA$46="Mayor"),CONCATENATE("R7C",'Mapa final'!$O$46),"")</f>
        <v/>
      </c>
      <c r="AC42" s="53" t="str">
        <f>IF(AND('Mapa final'!$Y$47="Baja",'Mapa final'!$AA$47="Mayor"),CONCATENATE("R7C",'Mapa final'!$O$47),"")</f>
        <v/>
      </c>
      <c r="AD42" s="58" t="str">
        <f>IF(AND('Mapa final'!$Y$48="Baja",'Mapa final'!$AA$48="Mayor"),CONCATENATE("R7C",'Mapa final'!$O$48),"")</f>
        <v/>
      </c>
      <c r="AE42" s="58" t="str">
        <f>IF(AND('Mapa final'!$Y$49="Baja",'Mapa final'!$AA$49="Mayor"),CONCATENATE("R7C",'Mapa final'!$O$49),"")</f>
        <v/>
      </c>
      <c r="AF42" s="58" t="str">
        <f>IF(AND('Mapa final'!$Y$50="Baja",'Mapa final'!$AA$50="Mayor"),CONCATENATE("R7C",'Mapa final'!$O$50),"")</f>
        <v/>
      </c>
      <c r="AG42" s="54" t="str">
        <f>IF(AND('Mapa final'!$Y$51="Baja",'Mapa final'!$AA$51="Mayor"),CONCATENATE("R7C",'Mapa final'!$O$51),"")</f>
        <v/>
      </c>
      <c r="AH42" s="55" t="str">
        <f>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4"/>
      <c r="AO42" s="373"/>
      <c r="AP42" s="374"/>
      <c r="AQ42" s="374"/>
      <c r="AR42" s="374"/>
      <c r="AS42" s="374"/>
      <c r="AT42" s="375"/>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251"/>
      <c r="C43" s="251"/>
      <c r="D43" s="252"/>
      <c r="E43" s="352"/>
      <c r="F43" s="353"/>
      <c r="G43" s="353"/>
      <c r="H43" s="353"/>
      <c r="I43" s="351"/>
      <c r="J43" s="77" t="str">
        <f>IF(AND('Mapa final'!$Y$52="Baja",'Mapa final'!$AA$52="Leve"),CONCATENATE("R8C",'Mapa final'!$O$52),"")</f>
        <v/>
      </c>
      <c r="K43" s="78" t="str">
        <f>IF(AND('Mapa final'!$Y$53="Baja",'Mapa final'!$AA$53="Leve"),CONCATENATE("R8C",'Mapa final'!$O$53),"")</f>
        <v/>
      </c>
      <c r="L43" s="78" t="str">
        <f>IF(AND('Mapa final'!$Y$54="Baja",'Mapa final'!$AA$54="Leve"),CONCATENATE("R8C",'Mapa final'!$O$54),"")</f>
        <v/>
      </c>
      <c r="M43" s="78" t="str">
        <f>IF(AND('Mapa final'!$Y$55="Baja",'Mapa final'!$AA$55="Leve"),CONCATENATE("R8C",'Mapa final'!$O$55),"")</f>
        <v/>
      </c>
      <c r="N43" s="78" t="str">
        <f>IF(AND('Mapa final'!$Y$56="Baja",'Mapa final'!$AA$56="Leve"),CONCATENATE("R8C",'Mapa final'!$O$56),"")</f>
        <v/>
      </c>
      <c r="O43" s="79" t="str">
        <f>IF(AND('Mapa final'!$Y$57="Baja",'Mapa final'!$AA$57="Leve"),CONCATENATE("R8C",'Mapa final'!$O$57),"")</f>
        <v/>
      </c>
      <c r="P43" s="68" t="str">
        <f>IF(AND('Mapa final'!$Y$52="Baja",'Mapa final'!$AA$52="Menor"),CONCATENATE("R8C",'Mapa final'!$O$52),"")</f>
        <v/>
      </c>
      <c r="Q43" s="69" t="str">
        <f>IF(AND('Mapa final'!$Y$53="Baja",'Mapa final'!$AA$53="Menor"),CONCATENATE("R8C",'Mapa final'!$O$53),"")</f>
        <v/>
      </c>
      <c r="R43" s="69" t="str">
        <f>IF(AND('Mapa final'!$Y$54="Baja",'Mapa final'!$AA$54="Menor"),CONCATENATE("R8C",'Mapa final'!$O$54),"")</f>
        <v/>
      </c>
      <c r="S43" s="69" t="str">
        <f>IF(AND('Mapa final'!$Y$55="Baja",'Mapa final'!$AA$55="Menor"),CONCATENATE("R8C",'Mapa final'!$O$55),"")</f>
        <v/>
      </c>
      <c r="T43" s="69" t="str">
        <f>IF(AND('Mapa final'!$Y$56="Baja",'Mapa final'!$AA$56="Menor"),CONCATENATE("R8C",'Mapa final'!$O$56),"")</f>
        <v/>
      </c>
      <c r="U43" s="70" t="str">
        <f>IF(AND('Mapa final'!$Y$57="Baja",'Mapa final'!$AA$57="Menor"),CONCATENATE("R8C",'Mapa final'!$O$57),"")</f>
        <v/>
      </c>
      <c r="V43" s="68" t="str">
        <f>IF(AND('Mapa final'!$Y$52="Baja",'Mapa final'!$AA$52="Moderado"),CONCATENATE("R8C",'Mapa final'!$O$52),"")</f>
        <v/>
      </c>
      <c r="W43" s="69" t="str">
        <f>IF(AND('Mapa final'!$Y$53="Baja",'Mapa final'!$AA$53="Moderado"),CONCATENATE("R8C",'Mapa final'!$O$53),"")</f>
        <v/>
      </c>
      <c r="X43" s="69" t="str">
        <f>IF(AND('Mapa final'!$Y$54="Baja",'Mapa final'!$AA$54="Moderado"),CONCATENATE("R8C",'Mapa final'!$O$54),"")</f>
        <v/>
      </c>
      <c r="Y43" s="69" t="str">
        <f>IF(AND('Mapa final'!$Y$55="Baja",'Mapa final'!$AA$55="Moderado"),CONCATENATE("R8C",'Mapa final'!$O$55),"")</f>
        <v/>
      </c>
      <c r="Z43" s="69" t="str">
        <f>IF(AND('Mapa final'!$Y$56="Baja",'Mapa final'!$AA$56="Moderado"),CONCATENATE("R8C",'Mapa final'!$O$56),"")</f>
        <v/>
      </c>
      <c r="AA43" s="70" t="str">
        <f>IF(AND('Mapa final'!$Y$57="Baja",'Mapa final'!$AA$57="Moderado"),CONCATENATE("R8C",'Mapa final'!$O$57),"")</f>
        <v/>
      </c>
      <c r="AB43" s="52" t="str">
        <f>IF(AND('Mapa final'!$Y$52="Baja",'Mapa final'!$AA$52="Mayor"),CONCATENATE("R8C",'Mapa final'!$O$52),"")</f>
        <v/>
      </c>
      <c r="AC43" s="53" t="str">
        <f>IF(AND('Mapa final'!$Y$53="Baja",'Mapa final'!$AA$53="Mayor"),CONCATENATE("R8C",'Mapa final'!$O$53),"")</f>
        <v/>
      </c>
      <c r="AD43" s="58" t="str">
        <f>IF(AND('Mapa final'!$Y$54="Baja",'Mapa final'!$AA$54="Mayor"),CONCATENATE("R8C",'Mapa final'!$O$54),"")</f>
        <v/>
      </c>
      <c r="AE43" s="58" t="str">
        <f>IF(AND('Mapa final'!$Y$55="Baja",'Mapa final'!$AA$55="Mayor"),CONCATENATE("R8C",'Mapa final'!$O$55),"")</f>
        <v/>
      </c>
      <c r="AF43" s="58" t="str">
        <f>IF(AND('Mapa final'!$Y$56="Baja",'Mapa final'!$AA$56="Mayor"),CONCATENATE("R8C",'Mapa final'!$O$56),"")</f>
        <v/>
      </c>
      <c r="AG43" s="54" t="str">
        <f>IF(AND('Mapa final'!$Y$57="Baja",'Mapa final'!$AA$57="Mayor"),CONCATENATE("R8C",'Mapa final'!$O$57),"")</f>
        <v/>
      </c>
      <c r="AH43" s="55" t="str">
        <f>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4"/>
      <c r="AO43" s="373"/>
      <c r="AP43" s="374"/>
      <c r="AQ43" s="374"/>
      <c r="AR43" s="374"/>
      <c r="AS43" s="374"/>
      <c r="AT43" s="375"/>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251"/>
      <c r="C44" s="251"/>
      <c r="D44" s="252"/>
      <c r="E44" s="352"/>
      <c r="F44" s="353"/>
      <c r="G44" s="353"/>
      <c r="H44" s="353"/>
      <c r="I44" s="351"/>
      <c r="J44" s="77" t="str">
        <f>IF(AND('Mapa final'!$Y$58="Baja",'Mapa final'!$AA$58="Leve"),CONCATENATE("R9C",'Mapa final'!$O$58),"")</f>
        <v/>
      </c>
      <c r="K44" s="78" t="str">
        <f>IF(AND('Mapa final'!$Y$59="Baja",'Mapa final'!$AA$59="Leve"),CONCATENATE("R9C",'Mapa final'!$O$59),"")</f>
        <v/>
      </c>
      <c r="L44" s="78" t="str">
        <f>IF(AND('Mapa final'!$Y$60="Baja",'Mapa final'!$AA$60="Leve"),CONCATENATE("R9C",'Mapa final'!$O$60),"")</f>
        <v/>
      </c>
      <c r="M44" s="78" t="str">
        <f>IF(AND('Mapa final'!$Y$61="Baja",'Mapa final'!$AA$61="Leve"),CONCATENATE("R9C",'Mapa final'!$O$61),"")</f>
        <v/>
      </c>
      <c r="N44" s="78" t="str">
        <f>IF(AND('Mapa final'!$Y$62="Baja",'Mapa final'!$AA$62="Leve"),CONCATENATE("R9C",'Mapa final'!$O$62),"")</f>
        <v/>
      </c>
      <c r="O44" s="79" t="str">
        <f>IF(AND('Mapa final'!$Y$63="Baja",'Mapa final'!$AA$63="Leve"),CONCATENATE("R9C",'Mapa final'!$O$63),"")</f>
        <v/>
      </c>
      <c r="P44" s="68" t="str">
        <f>IF(AND('Mapa final'!$Y$58="Baja",'Mapa final'!$AA$58="Menor"),CONCATENATE("R9C",'Mapa final'!$O$58),"")</f>
        <v/>
      </c>
      <c r="Q44" s="69" t="str">
        <f>IF(AND('Mapa final'!$Y$59="Baja",'Mapa final'!$AA$59="Menor"),CONCATENATE("R9C",'Mapa final'!$O$59),"")</f>
        <v/>
      </c>
      <c r="R44" s="69" t="str">
        <f>IF(AND('Mapa final'!$Y$60="Baja",'Mapa final'!$AA$60="Menor"),CONCATENATE("R9C",'Mapa final'!$O$60),"")</f>
        <v/>
      </c>
      <c r="S44" s="69" t="str">
        <f>IF(AND('Mapa final'!$Y$61="Baja",'Mapa final'!$AA$61="Menor"),CONCATENATE("R9C",'Mapa final'!$O$61),"")</f>
        <v/>
      </c>
      <c r="T44" s="69" t="str">
        <f>IF(AND('Mapa final'!$Y$62="Baja",'Mapa final'!$AA$62="Menor"),CONCATENATE("R9C",'Mapa final'!$O$62),"")</f>
        <v/>
      </c>
      <c r="U44" s="70" t="str">
        <f>IF(AND('Mapa final'!$Y$63="Baja",'Mapa final'!$AA$63="Menor"),CONCATENATE("R9C",'Mapa final'!$O$63),"")</f>
        <v/>
      </c>
      <c r="V44" s="68" t="str">
        <f>IF(AND('Mapa final'!$Y$58="Baja",'Mapa final'!$AA$58="Moderado"),CONCATENATE("R9C",'Mapa final'!$O$58),"")</f>
        <v/>
      </c>
      <c r="W44" s="69" t="str">
        <f>IF(AND('Mapa final'!$Y$59="Baja",'Mapa final'!$AA$59="Moderado"),CONCATENATE("R9C",'Mapa final'!$O$59),"")</f>
        <v/>
      </c>
      <c r="X44" s="69" t="str">
        <f>IF(AND('Mapa final'!$Y$60="Baja",'Mapa final'!$AA$60="Moderado"),CONCATENATE("R9C",'Mapa final'!$O$60),"")</f>
        <v/>
      </c>
      <c r="Y44" s="69" t="str">
        <f>IF(AND('Mapa final'!$Y$61="Baja",'Mapa final'!$AA$61="Moderado"),CONCATENATE("R9C",'Mapa final'!$O$61),"")</f>
        <v/>
      </c>
      <c r="Z44" s="69" t="str">
        <f>IF(AND('Mapa final'!$Y$62="Baja",'Mapa final'!$AA$62="Moderado"),CONCATENATE("R9C",'Mapa final'!$O$62),"")</f>
        <v/>
      </c>
      <c r="AA44" s="70" t="str">
        <f>IF(AND('Mapa final'!$Y$63="Baja",'Mapa final'!$AA$63="Moderado"),CONCATENATE("R9C",'Mapa final'!$O$63),"")</f>
        <v/>
      </c>
      <c r="AB44" s="52" t="str">
        <f>IF(AND('Mapa final'!$Y$58="Baja",'Mapa final'!$AA$58="Mayor"),CONCATENATE("R9C",'Mapa final'!$O$58),"")</f>
        <v/>
      </c>
      <c r="AC44" s="53" t="str">
        <f>IF(AND('Mapa final'!$Y$59="Baja",'Mapa final'!$AA$59="Mayor"),CONCATENATE("R9C",'Mapa final'!$O$59),"")</f>
        <v/>
      </c>
      <c r="AD44" s="58" t="str">
        <f>IF(AND('Mapa final'!$Y$60="Baja",'Mapa final'!$AA$60="Mayor"),CONCATENATE("R9C",'Mapa final'!$O$60),"")</f>
        <v/>
      </c>
      <c r="AE44" s="58" t="str">
        <f>IF(AND('Mapa final'!$Y$61="Baja",'Mapa final'!$AA$61="Mayor"),CONCATENATE("R9C",'Mapa final'!$O$61),"")</f>
        <v/>
      </c>
      <c r="AF44" s="58"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4"/>
      <c r="AO44" s="373"/>
      <c r="AP44" s="374"/>
      <c r="AQ44" s="374"/>
      <c r="AR44" s="374"/>
      <c r="AS44" s="374"/>
      <c r="AT44" s="375"/>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251"/>
      <c r="C45" s="251"/>
      <c r="D45" s="252"/>
      <c r="E45" s="354"/>
      <c r="F45" s="355"/>
      <c r="G45" s="355"/>
      <c r="H45" s="355"/>
      <c r="I45" s="355"/>
      <c r="J45" s="80" t="str">
        <f>IF(AND('Mapa final'!$Y$64="Baja",'Mapa final'!$AA$64="Leve"),CONCATENATE("R10C",'Mapa final'!$O$64),"")</f>
        <v/>
      </c>
      <c r="K45" s="81" t="str">
        <f>IF(AND('Mapa final'!$Y$65="Baja",'Mapa final'!$AA$65="Leve"),CONCATENATE("R10C",'Mapa final'!$O$65),"")</f>
        <v/>
      </c>
      <c r="L45" s="81" t="str">
        <f>IF(AND('Mapa final'!$Y$66="Baja",'Mapa final'!$AA$66="Leve"),CONCATENATE("R10C",'Mapa final'!$O$66),"")</f>
        <v/>
      </c>
      <c r="M45" s="81" t="str">
        <f>IF(AND('Mapa final'!$Y$67="Baja",'Mapa final'!$AA$67="Leve"),CONCATENATE("R10C",'Mapa final'!$O$67),"")</f>
        <v/>
      </c>
      <c r="N45" s="81" t="str">
        <f>IF(AND('Mapa final'!$Y$68="Baja",'Mapa final'!$AA$68="Leve"),CONCATENATE("R10C",'Mapa final'!$O$68),"")</f>
        <v/>
      </c>
      <c r="O45" s="82" t="str">
        <f>IF(AND('Mapa final'!$Y$69="Baja",'Mapa final'!$AA$69="Leve"),CONCATENATE("R10C",'Mapa final'!$O$69),"")</f>
        <v/>
      </c>
      <c r="P45" s="68" t="str">
        <f>IF(AND('Mapa final'!$Y$64="Baja",'Mapa final'!$AA$64="Menor"),CONCATENATE("R10C",'Mapa final'!$O$64),"")</f>
        <v/>
      </c>
      <c r="Q45" s="69" t="str">
        <f>IF(AND('Mapa final'!$Y$65="Baja",'Mapa final'!$AA$65="Menor"),CONCATENATE("R10C",'Mapa final'!$O$65),"")</f>
        <v/>
      </c>
      <c r="R45" s="69" t="str">
        <f>IF(AND('Mapa final'!$Y$66="Baja",'Mapa final'!$AA$66="Menor"),CONCATENATE("R10C",'Mapa final'!$O$66),"")</f>
        <v/>
      </c>
      <c r="S45" s="69" t="str">
        <f>IF(AND('Mapa final'!$Y$67="Baja",'Mapa final'!$AA$67="Menor"),CONCATENATE("R10C",'Mapa final'!$O$67),"")</f>
        <v/>
      </c>
      <c r="T45" s="69" t="str">
        <f>IF(AND('Mapa final'!$Y$68="Baja",'Mapa final'!$AA$68="Menor"),CONCATENATE("R10C",'Mapa final'!$O$68),"")</f>
        <v/>
      </c>
      <c r="U45" s="70" t="str">
        <f>IF(AND('Mapa final'!$Y$69="Baja",'Mapa final'!$AA$69="Menor"),CONCATENATE("R10C",'Mapa final'!$O$69),"")</f>
        <v/>
      </c>
      <c r="V45" s="71" t="str">
        <f>IF(AND('Mapa final'!$Y$64="Baja",'Mapa final'!$AA$64="Moderado"),CONCATENATE("R10C",'Mapa final'!$O$64),"")</f>
        <v/>
      </c>
      <c r="W45" s="72" t="str">
        <f>IF(AND('Mapa final'!$Y$65="Baja",'Mapa final'!$AA$65="Moderado"),CONCATENATE("R10C",'Mapa final'!$O$65),"")</f>
        <v/>
      </c>
      <c r="X45" s="72" t="str">
        <f>IF(AND('Mapa final'!$Y$66="Baja",'Mapa final'!$AA$66="Moderado"),CONCATENATE("R10C",'Mapa final'!$O$66),"")</f>
        <v/>
      </c>
      <c r="Y45" s="72" t="str">
        <f>IF(AND('Mapa final'!$Y$67="Baja",'Mapa final'!$AA$67="Moderado"),CONCATENATE("R10C",'Mapa final'!$O$67),"")</f>
        <v/>
      </c>
      <c r="Z45" s="72" t="str">
        <f>IF(AND('Mapa final'!$Y$68="Baja",'Mapa final'!$AA$68="Moderado"),CONCATENATE("R10C",'Mapa final'!$O$68),"")</f>
        <v/>
      </c>
      <c r="AA45" s="73" t="str">
        <f>IF(AND('Mapa final'!$Y$69="Baja",'Mapa final'!$AA$69="Moderado"),CONCATENATE("R10C",'Mapa final'!$O$69),"")</f>
        <v/>
      </c>
      <c r="AB45" s="59" t="str">
        <f>IF(AND('Mapa final'!$Y$64="Baja",'Mapa final'!$AA$64="Mayor"),CONCATENATE("R10C",'Mapa final'!$O$64),"")</f>
        <v/>
      </c>
      <c r="AC45" s="60" t="str">
        <f>IF(AND('Mapa final'!$Y$65="Baja",'Mapa final'!$AA$65="Mayor"),CONCATENATE("R10C",'Mapa final'!$O$65),"")</f>
        <v/>
      </c>
      <c r="AD45" s="60" t="str">
        <f>IF(AND('Mapa final'!$Y$66="Baja",'Mapa final'!$AA$66="Mayor"),CONCATENATE("R10C",'Mapa final'!$O$66),"")</f>
        <v/>
      </c>
      <c r="AE45" s="60" t="str">
        <f>IF(AND('Mapa final'!$Y$67="Baja",'Mapa final'!$AA$67="Mayor"),CONCATENATE("R10C",'Mapa final'!$O$67),"")</f>
        <v/>
      </c>
      <c r="AF45" s="60" t="str">
        <f>IF(AND('Mapa final'!$Y$68="Baja",'Mapa final'!$AA$68="Mayor"),CONCATENATE("R10C",'Mapa final'!$O$68),"")</f>
        <v/>
      </c>
      <c r="AG45" s="61" t="str">
        <f>IF(AND('Mapa final'!$Y$69="Baja",'Mapa final'!$AA$69="Mayor"),CONCATENATE("R10C",'Mapa final'!$O$69),"")</f>
        <v/>
      </c>
      <c r="AH45" s="62" t="str">
        <f>IF(AND('Mapa final'!$Y$64="Baja",'Mapa final'!$AA$64="Catastrófico"),CONCATENATE("R10C",'Mapa final'!$O$64),"")</f>
        <v/>
      </c>
      <c r="AI45" s="63" t="str">
        <f>IF(AND('Mapa final'!$Y$65="Baja",'Mapa final'!$AA$65="Catastrófico"),CONCATENATE("R10C",'Mapa final'!$O$65),"")</f>
        <v/>
      </c>
      <c r="AJ45" s="63" t="str">
        <f>IF(AND('Mapa final'!$Y$66="Baja",'Mapa final'!$AA$66="Catastrófico"),CONCATENATE("R10C",'Mapa final'!$O$66),"")</f>
        <v/>
      </c>
      <c r="AK45" s="63" t="str">
        <f>IF(AND('Mapa final'!$Y$67="Baja",'Mapa final'!$AA$67="Catastrófico"),CONCATENATE("R10C",'Mapa final'!$O$67),"")</f>
        <v/>
      </c>
      <c r="AL45" s="63" t="str">
        <f>IF(AND('Mapa final'!$Y$68="Baja",'Mapa final'!$AA$68="Catastrófico"),CONCATENATE("R10C",'Mapa final'!$O$68),"")</f>
        <v/>
      </c>
      <c r="AM45" s="64" t="str">
        <f>IF(AND('Mapa final'!$Y$69="Baja",'Mapa final'!$AA$69="Catastrófico"),CONCATENATE("R10C",'Mapa final'!$O$69),"")</f>
        <v/>
      </c>
      <c r="AN45" s="84"/>
      <c r="AO45" s="376"/>
      <c r="AP45" s="377"/>
      <c r="AQ45" s="377"/>
      <c r="AR45" s="377"/>
      <c r="AS45" s="377"/>
      <c r="AT45" s="378"/>
    </row>
    <row r="46" spans="1:80" ht="46.5" customHeight="1" x14ac:dyDescent="0.35">
      <c r="A46" s="84"/>
      <c r="B46" s="251"/>
      <c r="C46" s="251"/>
      <c r="D46" s="252"/>
      <c r="E46" s="348" t="s">
        <v>113</v>
      </c>
      <c r="F46" s="349"/>
      <c r="G46" s="349"/>
      <c r="H46" s="349"/>
      <c r="I46" s="367"/>
      <c r="J46" s="74" t="str">
        <f ca="1">IF(AND('Mapa final'!$Y$10="Muy Baja",'Mapa final'!$AA$10="Leve"),CONCATENATE("R1C",'Mapa final'!$O$10),"")</f>
        <v/>
      </c>
      <c r="K46" s="75" t="str">
        <f>IF(AND('Mapa final'!$Y$11="Muy Baja",'Mapa final'!$AA$11="Leve"),CONCATENATE("R1C",'Mapa final'!$O$11),"")</f>
        <v/>
      </c>
      <c r="L46" s="75" t="str">
        <f>IF(AND('Mapa final'!$Y$12="Muy Baja",'Mapa final'!$AA$12="Leve"),CONCATENATE("R1C",'Mapa final'!$O$12),"")</f>
        <v/>
      </c>
      <c r="M46" s="75" t="str">
        <f>IF(AND('Mapa final'!$Y$13="Muy Baja",'Mapa final'!$AA$13="Leve"),CONCATENATE("R1C",'Mapa final'!$O$13),"")</f>
        <v/>
      </c>
      <c r="N46" s="75" t="str">
        <f>IF(AND('Mapa final'!$Y$14="Muy Baja",'Mapa final'!$AA$14="Leve"),CONCATENATE("R1C",'Mapa final'!$O$14),"")</f>
        <v/>
      </c>
      <c r="O46" s="76" t="str">
        <f>IF(AND('Mapa final'!$Y$15="Muy Baja",'Mapa final'!$AA$15="Leve"),CONCATENATE("R1C",'Mapa final'!$O$15),"")</f>
        <v/>
      </c>
      <c r="P46" s="74" t="str">
        <f ca="1">IF(AND('Mapa final'!$Y$10="Muy Baja",'Mapa final'!$AA$10="Menor"),CONCATENATE("R1C",'Mapa final'!$O$10),"")</f>
        <v/>
      </c>
      <c r="Q46" s="75" t="str">
        <f>IF(AND('Mapa final'!$Y$11="Muy Baja",'Mapa final'!$AA$11="Menor"),CONCATENATE("R1C",'Mapa final'!$O$11),"")</f>
        <v/>
      </c>
      <c r="R46" s="75" t="str">
        <f>IF(AND('Mapa final'!$Y$12="Muy Baja",'Mapa final'!$AA$12="Menor"),CONCATENATE("R1C",'Mapa final'!$O$12),"")</f>
        <v/>
      </c>
      <c r="S46" s="75" t="str">
        <f>IF(AND('Mapa final'!$Y$13="Muy Baja",'Mapa final'!$AA$13="Menor"),CONCATENATE("R1C",'Mapa final'!$O$13),"")</f>
        <v/>
      </c>
      <c r="T46" s="75" t="str">
        <f>IF(AND('Mapa final'!$Y$14="Muy Baja",'Mapa final'!$AA$14="Menor"),CONCATENATE("R1C",'Mapa final'!$O$14),"")</f>
        <v/>
      </c>
      <c r="U46" s="76" t="str">
        <f>IF(AND('Mapa final'!$Y$15="Muy Baja",'Mapa final'!$AA$15="Menor"),CONCATENATE("R1C",'Mapa final'!$O$15),"")</f>
        <v/>
      </c>
      <c r="V46" s="65" t="str">
        <f ca="1">IF(AND('Mapa final'!$Y$10="Muy Baja",'Mapa final'!$AA$10="Moderado"),CONCATENATE("R1C",'Mapa final'!$O$10),"")</f>
        <v/>
      </c>
      <c r="W46" s="83" t="str">
        <f>IF(AND('Mapa final'!$Y$11="Muy Baja",'Mapa final'!$AA$11="Moderado"),CONCATENATE("R1C",'Mapa final'!$O$11),"")</f>
        <v/>
      </c>
      <c r="X46" s="66" t="str">
        <f>IF(AND('Mapa final'!$Y$12="Muy Baja",'Mapa final'!$AA$12="Moderado"),CONCATENATE("R1C",'Mapa final'!$O$12),"")</f>
        <v/>
      </c>
      <c r="Y46" s="66" t="str">
        <f>IF(AND('Mapa final'!$Y$13="Muy Baja",'Mapa final'!$AA$13="Moderado"),CONCATENATE("R1C",'Mapa final'!$O$13),"")</f>
        <v/>
      </c>
      <c r="Z46" s="66" t="str">
        <f>IF(AND('Mapa final'!$Y$14="Muy Baja",'Mapa final'!$AA$14="Moderado"),CONCATENATE("R1C",'Mapa final'!$O$14),"")</f>
        <v/>
      </c>
      <c r="AA46" s="67" t="str">
        <f>IF(AND('Mapa final'!$Y$15="Muy Baja",'Mapa final'!$AA$15="Moderado"),CONCATENATE("R1C",'Mapa final'!$O$15),"")</f>
        <v/>
      </c>
      <c r="AB46" s="46" t="str">
        <f ca="1">IF(AND('Mapa final'!$Y$10="Muy Baja",'Mapa final'!$AA$10="Mayor"),CONCATENATE("R1C",'Mapa final'!$O$10),"")</f>
        <v/>
      </c>
      <c r="AC46" s="47" t="str">
        <f>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251"/>
      <c r="C47" s="251"/>
      <c r="D47" s="252"/>
      <c r="E47" s="350"/>
      <c r="F47" s="351"/>
      <c r="G47" s="351"/>
      <c r="H47" s="351"/>
      <c r="I47" s="368"/>
      <c r="J47" s="77" t="str">
        <f ca="1">IF(AND('Mapa final'!$Y$16="Muy Baja",'Mapa final'!$AA$16="Leve"),CONCATENATE("R2C",'Mapa final'!$O$16),"")</f>
        <v/>
      </c>
      <c r="K47" s="78" t="str">
        <f>IF(AND('Mapa final'!$Y$17="Muy Baja",'Mapa final'!$AA$17="Leve"),CONCATENATE("R2C",'Mapa final'!$O$17),"")</f>
        <v/>
      </c>
      <c r="L47" s="78" t="str">
        <f>IF(AND('Mapa final'!$Y$18="Muy Baja",'Mapa final'!$AA$18="Leve"),CONCATENATE("R2C",'Mapa final'!$O$18),"")</f>
        <v/>
      </c>
      <c r="M47" s="78" t="str">
        <f>IF(AND('Mapa final'!$Y$19="Muy Baja",'Mapa final'!$AA$19="Leve"),CONCATENATE("R2C",'Mapa final'!$O$19),"")</f>
        <v/>
      </c>
      <c r="N47" s="78" t="str">
        <f>IF(AND('Mapa final'!$Y$20="Muy Baja",'Mapa final'!$AA$20="Leve"),CONCATENATE("R2C",'Mapa final'!$O$20),"")</f>
        <v/>
      </c>
      <c r="O47" s="79" t="str">
        <f>IF(AND('Mapa final'!$Y$21="Muy Baja",'Mapa final'!$AA$21="Leve"),CONCATENATE("R2C",'Mapa final'!$O$21),"")</f>
        <v/>
      </c>
      <c r="P47" s="77" t="str">
        <f ca="1">IF(AND('Mapa final'!$Y$16="Muy Baja",'Mapa final'!$AA$16="Menor"),CONCATENATE("R2C",'Mapa final'!$O$16),"")</f>
        <v/>
      </c>
      <c r="Q47" s="78" t="str">
        <f>IF(AND('Mapa final'!$Y$17="Muy Baja",'Mapa final'!$AA$17="Menor"),CONCATENATE("R2C",'Mapa final'!$O$17),"")</f>
        <v/>
      </c>
      <c r="R47" s="78" t="str">
        <f>IF(AND('Mapa final'!$Y$18="Muy Baja",'Mapa final'!$AA$18="Menor"),CONCATENATE("R2C",'Mapa final'!$O$18),"")</f>
        <v/>
      </c>
      <c r="S47" s="78" t="str">
        <f>IF(AND('Mapa final'!$Y$19="Muy Baja",'Mapa final'!$AA$19="Menor"),CONCATENATE("R2C",'Mapa final'!$O$19),"")</f>
        <v/>
      </c>
      <c r="T47" s="78" t="str">
        <f>IF(AND('Mapa final'!$Y$20="Muy Baja",'Mapa final'!$AA$20="Menor"),CONCATENATE("R2C",'Mapa final'!$O$20),"")</f>
        <v/>
      </c>
      <c r="U47" s="79" t="str">
        <f>IF(AND('Mapa final'!$Y$21="Muy Baja",'Mapa final'!$AA$21="Menor"),CONCATENATE("R2C",'Mapa final'!$O$21),"")</f>
        <v/>
      </c>
      <c r="V47" s="68" t="str">
        <f ca="1">IF(AND('Mapa final'!$Y$16="Muy Baja",'Mapa final'!$AA$16="Moderado"),CONCATENATE("R2C",'Mapa final'!$O$16),"")</f>
        <v/>
      </c>
      <c r="W47" s="69" t="str">
        <f>IF(AND('Mapa final'!$Y$17="Muy Baja",'Mapa final'!$AA$17="Moderado"),CONCATENATE("R2C",'Mapa final'!$O$17),"")</f>
        <v/>
      </c>
      <c r="X47" s="69" t="str">
        <f>IF(AND('Mapa final'!$Y$18="Muy Baja",'Mapa final'!$AA$18="Moderado"),CONCATENATE("R2C",'Mapa final'!$O$18),"")</f>
        <v/>
      </c>
      <c r="Y47" s="69" t="str">
        <f>IF(AND('Mapa final'!$Y$19="Muy Baja",'Mapa final'!$AA$19="Moderado"),CONCATENATE("R2C",'Mapa final'!$O$19),"")</f>
        <v/>
      </c>
      <c r="Z47" s="69" t="str">
        <f>IF(AND('Mapa final'!$Y$20="Muy Baja",'Mapa final'!$AA$20="Moderado"),CONCATENATE("R2C",'Mapa final'!$O$20),"")</f>
        <v/>
      </c>
      <c r="AA47" s="70" t="str">
        <f>IF(AND('Mapa final'!$Y$21="Muy Baja",'Mapa final'!$AA$21="Moderado"),CONCATENATE("R2C",'Mapa final'!$O$21),"")</f>
        <v/>
      </c>
      <c r="AB47" s="52" t="str">
        <f ca="1">IF(AND('Mapa final'!$Y$16="Muy Baja",'Mapa final'!$AA$16="Mayor"),CONCATENATE("R2C",'Mapa final'!$O$16),"")</f>
        <v/>
      </c>
      <c r="AC47" s="53" t="str">
        <f>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 ca="1">IF(AND('Mapa final'!$Y$16="Muy Baja",'Mapa final'!$AA$16="Catastrófico"),CONCATENATE("R2C",'Mapa final'!$O$16),"")</f>
        <v/>
      </c>
      <c r="AI47" s="56" t="str">
        <f>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251"/>
      <c r="C48" s="251"/>
      <c r="D48" s="252"/>
      <c r="E48" s="350"/>
      <c r="F48" s="351"/>
      <c r="G48" s="351"/>
      <c r="H48" s="351"/>
      <c r="I48" s="368"/>
      <c r="J48" s="77" t="str">
        <f ca="1">IF(AND('Mapa final'!$Y$22="Muy Baja",'Mapa final'!$AA$22="Leve"),CONCATENATE("R3C",'Mapa final'!$O$22),"")</f>
        <v/>
      </c>
      <c r="K48" s="78" t="str">
        <f>IF(AND('Mapa final'!$Y$23="Muy Baja",'Mapa final'!$AA$23="Leve"),CONCATENATE("R3C",'Mapa final'!$O$23),"")</f>
        <v/>
      </c>
      <c r="L48" s="78" t="str">
        <f>IF(AND('Mapa final'!$Y$24="Muy Baja",'Mapa final'!$AA$24="Leve"),CONCATENATE("R3C",'Mapa final'!$O$24),"")</f>
        <v/>
      </c>
      <c r="M48" s="78" t="str">
        <f>IF(AND('Mapa final'!$Y$25="Muy Baja",'Mapa final'!$AA$25="Leve"),CONCATENATE("R3C",'Mapa final'!$O$25),"")</f>
        <v/>
      </c>
      <c r="N48" s="78" t="str">
        <f>IF(AND('Mapa final'!$Y$26="Muy Baja",'Mapa final'!$AA$26="Leve"),CONCATENATE("R3C",'Mapa final'!$O$26),"")</f>
        <v/>
      </c>
      <c r="O48" s="79" t="str">
        <f>IF(AND('Mapa final'!$Y$27="Muy Baja",'Mapa final'!$AA$27="Leve"),CONCATENATE("R3C",'Mapa final'!$O$27),"")</f>
        <v/>
      </c>
      <c r="P48" s="77" t="str">
        <f ca="1">IF(AND('Mapa final'!$Y$22="Muy Baja",'Mapa final'!$AA$22="Menor"),CONCATENATE("R3C",'Mapa final'!$O$22),"")</f>
        <v/>
      </c>
      <c r="Q48" s="78" t="str">
        <f>IF(AND('Mapa final'!$Y$23="Muy Baja",'Mapa final'!$AA$23="Menor"),CONCATENATE("R3C",'Mapa final'!$O$23),"")</f>
        <v/>
      </c>
      <c r="R48" s="78" t="str">
        <f>IF(AND('Mapa final'!$Y$24="Muy Baja",'Mapa final'!$AA$24="Menor"),CONCATENATE("R3C",'Mapa final'!$O$24),"")</f>
        <v/>
      </c>
      <c r="S48" s="78" t="str">
        <f>IF(AND('Mapa final'!$Y$25="Muy Baja",'Mapa final'!$AA$25="Menor"),CONCATENATE("R3C",'Mapa final'!$O$25),"")</f>
        <v/>
      </c>
      <c r="T48" s="78" t="str">
        <f>IF(AND('Mapa final'!$Y$26="Muy Baja",'Mapa final'!$AA$26="Menor"),CONCATENATE("R3C",'Mapa final'!$O$26),"")</f>
        <v/>
      </c>
      <c r="U48" s="79" t="str">
        <f>IF(AND('Mapa final'!$Y$27="Muy Baja",'Mapa final'!$AA$27="Menor"),CONCATENATE("R3C",'Mapa final'!$O$27),"")</f>
        <v/>
      </c>
      <c r="V48" s="68" t="str">
        <f ca="1">IF(AND('Mapa final'!$Y$22="Muy Baja",'Mapa final'!$AA$22="Moderado"),CONCATENATE("R3C",'Mapa final'!$O$22),"")</f>
        <v/>
      </c>
      <c r="W48" s="69" t="str">
        <f>IF(AND('Mapa final'!$Y$23="Muy Baja",'Mapa final'!$AA$23="Moderado"),CONCATENATE("R3C",'Mapa final'!$O$23),"")</f>
        <v/>
      </c>
      <c r="X48" s="69" t="str">
        <f>IF(AND('Mapa final'!$Y$24="Muy Baja",'Mapa final'!$AA$24="Moderado"),CONCATENATE("R3C",'Mapa final'!$O$24),"")</f>
        <v/>
      </c>
      <c r="Y48" s="69" t="str">
        <f>IF(AND('Mapa final'!$Y$25="Muy Baja",'Mapa final'!$AA$25="Moderado"),CONCATENATE("R3C",'Mapa final'!$O$25),"")</f>
        <v/>
      </c>
      <c r="Z48" s="69" t="str">
        <f>IF(AND('Mapa final'!$Y$26="Muy Baja",'Mapa final'!$AA$26="Moderado"),CONCATENATE("R3C",'Mapa final'!$O$26),"")</f>
        <v/>
      </c>
      <c r="AA48" s="70" t="str">
        <f>IF(AND('Mapa final'!$Y$27="Muy Baja",'Mapa final'!$AA$27="Moderado"),CONCATENATE("R3C",'Mapa final'!$O$27),"")</f>
        <v/>
      </c>
      <c r="AB48" s="52" t="str">
        <f ca="1">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 ca="1">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251"/>
      <c r="C49" s="251"/>
      <c r="D49" s="252"/>
      <c r="E49" s="352"/>
      <c r="F49" s="353"/>
      <c r="G49" s="353"/>
      <c r="H49" s="353"/>
      <c r="I49" s="368"/>
      <c r="J49" s="77" t="str">
        <f>IF(AND('Mapa final'!$Y$28="Muy Baja",'Mapa final'!$AA$28="Leve"),CONCATENATE("R4C",'Mapa final'!$O$28),"")</f>
        <v/>
      </c>
      <c r="K49" s="78" t="str">
        <f>IF(AND('Mapa final'!$Y$29="Muy Baja",'Mapa final'!$AA$29="Leve"),CONCATENATE("R4C",'Mapa final'!$O$29),"")</f>
        <v/>
      </c>
      <c r="L49" s="78" t="str">
        <f>IF(AND('Mapa final'!$Y$30="Muy Baja",'Mapa final'!$AA$30="Leve"),CONCATENATE("R4C",'Mapa final'!$O$30),"")</f>
        <v/>
      </c>
      <c r="M49" s="78" t="str">
        <f>IF(AND('Mapa final'!$Y$31="Muy Baja",'Mapa final'!$AA$31="Leve"),CONCATENATE("R4C",'Mapa final'!$O$31),"")</f>
        <v/>
      </c>
      <c r="N49" s="78" t="str">
        <f>IF(AND('Mapa final'!$Y$32="Muy Baja",'Mapa final'!$AA$32="Leve"),CONCATENATE("R4C",'Mapa final'!$O$32),"")</f>
        <v/>
      </c>
      <c r="O49" s="79" t="str">
        <f>IF(AND('Mapa final'!$Y$33="Muy Baja",'Mapa final'!$AA$33="Leve"),CONCATENATE("R4C",'Mapa final'!$O$33),"")</f>
        <v/>
      </c>
      <c r="P49" s="77" t="str">
        <f>IF(AND('Mapa final'!$Y$28="Muy Baja",'Mapa final'!$AA$28="Menor"),CONCATENATE("R4C",'Mapa final'!$O$28),"")</f>
        <v/>
      </c>
      <c r="Q49" s="78" t="str">
        <f>IF(AND('Mapa final'!$Y$29="Muy Baja",'Mapa final'!$AA$29="Menor"),CONCATENATE("R4C",'Mapa final'!$O$29),"")</f>
        <v/>
      </c>
      <c r="R49" s="78" t="str">
        <f>IF(AND('Mapa final'!$Y$30="Muy Baja",'Mapa final'!$AA$30="Menor"),CONCATENATE("R4C",'Mapa final'!$O$30),"")</f>
        <v/>
      </c>
      <c r="S49" s="78" t="str">
        <f>IF(AND('Mapa final'!$Y$31="Muy Baja",'Mapa final'!$AA$31="Menor"),CONCATENATE("R4C",'Mapa final'!$O$31),"")</f>
        <v/>
      </c>
      <c r="T49" s="78" t="str">
        <f>IF(AND('Mapa final'!$Y$32="Muy Baja",'Mapa final'!$AA$32="Menor"),CONCATENATE("R4C",'Mapa final'!$O$32),"")</f>
        <v/>
      </c>
      <c r="U49" s="79" t="str">
        <f>IF(AND('Mapa final'!$Y$33="Muy Baja",'Mapa final'!$AA$33="Menor"),CONCATENATE("R4C",'Mapa final'!$O$33),"")</f>
        <v/>
      </c>
      <c r="V49" s="68" t="str">
        <f>IF(AND('Mapa final'!$Y$28="Muy Baja",'Mapa final'!$AA$28="Moderado"),CONCATENATE("R4C",'Mapa final'!$O$28),"")</f>
        <v/>
      </c>
      <c r="W49" s="69" t="str">
        <f>IF(AND('Mapa final'!$Y$29="Muy Baja",'Mapa final'!$AA$29="Moderado"),CONCATENATE("R4C",'Mapa final'!$O$29),"")</f>
        <v/>
      </c>
      <c r="X49" s="69" t="str">
        <f>IF(AND('Mapa final'!$Y$30="Muy Baja",'Mapa final'!$AA$30="Moderado"),CONCATENATE("R4C",'Mapa final'!$O$30),"")</f>
        <v/>
      </c>
      <c r="Y49" s="69" t="str">
        <f>IF(AND('Mapa final'!$Y$31="Muy Baja",'Mapa final'!$AA$31="Moderado"),CONCATENATE("R4C",'Mapa final'!$O$31),"")</f>
        <v/>
      </c>
      <c r="Z49" s="69" t="str">
        <f>IF(AND('Mapa final'!$Y$32="Muy Baja",'Mapa final'!$AA$32="Moderado"),CONCATENATE("R4C",'Mapa final'!$O$32),"")</f>
        <v/>
      </c>
      <c r="AA49" s="70" t="str">
        <f>IF(AND('Mapa final'!$Y$33="Muy Baja",'Mapa final'!$AA$33="Moderado"),CONCATENATE("R4C",'Mapa final'!$O$33),"")</f>
        <v/>
      </c>
      <c r="AB49" s="52" t="str">
        <f>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251"/>
      <c r="C50" s="251"/>
      <c r="D50" s="252"/>
      <c r="E50" s="352"/>
      <c r="F50" s="353"/>
      <c r="G50" s="353"/>
      <c r="H50" s="353"/>
      <c r="I50" s="368"/>
      <c r="J50" s="77" t="str">
        <f>IF(AND('Mapa final'!$Y$34="Muy Baja",'Mapa final'!$AA$34="Leve"),CONCATENATE("R5C",'Mapa final'!$O$34),"")</f>
        <v/>
      </c>
      <c r="K50" s="78" t="str">
        <f>IF(AND('Mapa final'!$Y$35="Muy Baja",'Mapa final'!$AA$35="Leve"),CONCATENATE("R5C",'Mapa final'!$O$35),"")</f>
        <v/>
      </c>
      <c r="L50" s="78" t="str">
        <f>IF(AND('Mapa final'!$Y$36="Muy Baja",'Mapa final'!$AA$36="Leve"),CONCATENATE("R5C",'Mapa final'!$O$36),"")</f>
        <v/>
      </c>
      <c r="M50" s="78" t="str">
        <f>IF(AND('Mapa final'!$Y$37="Muy Baja",'Mapa final'!$AA$37="Leve"),CONCATENATE("R5C",'Mapa final'!$O$37),"")</f>
        <v/>
      </c>
      <c r="N50" s="78" t="str">
        <f>IF(AND('Mapa final'!$Y$38="Muy Baja",'Mapa final'!$AA$38="Leve"),CONCATENATE("R5C",'Mapa final'!$O$38),"")</f>
        <v/>
      </c>
      <c r="O50" s="79" t="str">
        <f>IF(AND('Mapa final'!$Y$39="Muy Baja",'Mapa final'!$AA$39="Leve"),CONCATENATE("R5C",'Mapa final'!$O$39),"")</f>
        <v/>
      </c>
      <c r="P50" s="77" t="str">
        <f>IF(AND('Mapa final'!$Y$34="Muy Baja",'Mapa final'!$AA$34="Menor"),CONCATENATE("R5C",'Mapa final'!$O$34),"")</f>
        <v/>
      </c>
      <c r="Q50" s="78" t="str">
        <f>IF(AND('Mapa final'!$Y$35="Muy Baja",'Mapa final'!$AA$35="Menor"),CONCATENATE("R5C",'Mapa final'!$O$35),"")</f>
        <v/>
      </c>
      <c r="R50" s="78" t="str">
        <f>IF(AND('Mapa final'!$Y$36="Muy Baja",'Mapa final'!$AA$36="Menor"),CONCATENATE("R5C",'Mapa final'!$O$36),"")</f>
        <v/>
      </c>
      <c r="S50" s="78" t="str">
        <f>IF(AND('Mapa final'!$Y$37="Muy Baja",'Mapa final'!$AA$37="Menor"),CONCATENATE("R5C",'Mapa final'!$O$37),"")</f>
        <v/>
      </c>
      <c r="T50" s="78" t="str">
        <f>IF(AND('Mapa final'!$Y$38="Muy Baja",'Mapa final'!$AA$38="Menor"),CONCATENATE("R5C",'Mapa final'!$O$38),"")</f>
        <v/>
      </c>
      <c r="U50" s="79" t="str">
        <f>IF(AND('Mapa final'!$Y$39="Muy Baja",'Mapa final'!$AA$39="Menor"),CONCATENATE("R5C",'Mapa final'!$O$39),"")</f>
        <v/>
      </c>
      <c r="V50" s="68" t="str">
        <f>IF(AND('Mapa final'!$Y$34="Muy Baja",'Mapa final'!$AA$34="Moderado"),CONCATENATE("R5C",'Mapa final'!$O$34),"")</f>
        <v/>
      </c>
      <c r="W50" s="69" t="str">
        <f>IF(AND('Mapa final'!$Y$35="Muy Baja",'Mapa final'!$AA$35="Moderado"),CONCATENATE("R5C",'Mapa final'!$O$35),"")</f>
        <v/>
      </c>
      <c r="X50" s="69" t="str">
        <f>IF(AND('Mapa final'!$Y$36="Muy Baja",'Mapa final'!$AA$36="Moderado"),CONCATENATE("R5C",'Mapa final'!$O$36),"")</f>
        <v/>
      </c>
      <c r="Y50" s="69" t="str">
        <f>IF(AND('Mapa final'!$Y$37="Muy Baja",'Mapa final'!$AA$37="Moderado"),CONCATENATE("R5C",'Mapa final'!$O$37),"")</f>
        <v/>
      </c>
      <c r="Z50" s="69" t="str">
        <f>IF(AND('Mapa final'!$Y$38="Muy Baja",'Mapa final'!$AA$38="Moderado"),CONCATENATE("R5C",'Mapa final'!$O$38),"")</f>
        <v/>
      </c>
      <c r="AA50" s="70" t="str">
        <f>IF(AND('Mapa final'!$Y$39="Muy Baja",'Mapa final'!$AA$39="Moderado"),CONCATENATE("R5C",'Mapa final'!$O$39),"")</f>
        <v/>
      </c>
      <c r="AB50" s="52" t="str">
        <f>IF(AND('Mapa final'!$Y$34="Muy Baja",'Mapa final'!$AA$34="Mayor"),CONCATENATE("R5C",'Mapa final'!$O$34),"")</f>
        <v/>
      </c>
      <c r="AC50" s="53" t="str">
        <f>IF(AND('Mapa final'!$Y$35="Muy Baja",'Mapa final'!$AA$35="Mayor"),CONCATENATE("R5C",'Mapa final'!$O$35),"")</f>
        <v/>
      </c>
      <c r="AD50" s="58" t="str">
        <f>IF(AND('Mapa final'!$Y$36="Muy Baja",'Mapa final'!$AA$36="Mayor"),CONCATENATE("R5C",'Mapa final'!$O$36),"")</f>
        <v/>
      </c>
      <c r="AE50" s="58" t="str">
        <f>IF(AND('Mapa final'!$Y$37="Muy Baja",'Mapa final'!$AA$37="Mayor"),CONCATENATE("R5C",'Mapa final'!$O$37),"")</f>
        <v/>
      </c>
      <c r="AF50" s="58" t="str">
        <f>IF(AND('Mapa final'!$Y$38="Muy Baja",'Mapa final'!$AA$38="Mayor"),CONCATENATE("R5C",'Mapa final'!$O$38),"")</f>
        <v/>
      </c>
      <c r="AG50" s="54" t="str">
        <f>IF(AND('Mapa final'!$Y$39="Muy Baja",'Mapa final'!$AA$39="Mayor"),CONCATENATE("R5C",'Mapa final'!$O$39),"")</f>
        <v/>
      </c>
      <c r="AH50" s="55" t="str">
        <f>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251"/>
      <c r="C51" s="251"/>
      <c r="D51" s="252"/>
      <c r="E51" s="352"/>
      <c r="F51" s="353"/>
      <c r="G51" s="353"/>
      <c r="H51" s="353"/>
      <c r="I51" s="368"/>
      <c r="J51" s="77" t="str">
        <f>IF(AND('Mapa final'!$Y$40="Muy Baja",'Mapa final'!$AA$40="Leve"),CONCATENATE("R6C",'Mapa final'!$O$40),"")</f>
        <v/>
      </c>
      <c r="K51" s="78" t="str">
        <f>IF(AND('Mapa final'!$Y$41="Muy Baja",'Mapa final'!$AA$41="Leve"),CONCATENATE("R6C",'Mapa final'!$O$41),"")</f>
        <v/>
      </c>
      <c r="L51" s="78" t="str">
        <f>IF(AND('Mapa final'!$Y$42="Muy Baja",'Mapa final'!$AA$42="Leve"),CONCATENATE("R6C",'Mapa final'!$O$42),"")</f>
        <v/>
      </c>
      <c r="M51" s="78" t="str">
        <f>IF(AND('Mapa final'!$Y$43="Muy Baja",'Mapa final'!$AA$43="Leve"),CONCATENATE("R6C",'Mapa final'!$O$43),"")</f>
        <v/>
      </c>
      <c r="N51" s="78" t="str">
        <f>IF(AND('Mapa final'!$Y$44="Muy Baja",'Mapa final'!$AA$44="Leve"),CONCATENATE("R6C",'Mapa final'!$O$44),"")</f>
        <v/>
      </c>
      <c r="O51" s="79" t="str">
        <f>IF(AND('Mapa final'!$Y$45="Muy Baja",'Mapa final'!$AA$45="Leve"),CONCATENATE("R6C",'Mapa final'!$O$45),"")</f>
        <v/>
      </c>
      <c r="P51" s="77" t="str">
        <f>IF(AND('Mapa final'!$Y$40="Muy Baja",'Mapa final'!$AA$40="Menor"),CONCATENATE("R6C",'Mapa final'!$O$40),"")</f>
        <v/>
      </c>
      <c r="Q51" s="78" t="str">
        <f>IF(AND('Mapa final'!$Y$41="Muy Baja",'Mapa final'!$AA$41="Menor"),CONCATENATE("R6C",'Mapa final'!$O$41),"")</f>
        <v/>
      </c>
      <c r="R51" s="78" t="str">
        <f>IF(AND('Mapa final'!$Y$42="Muy Baja",'Mapa final'!$AA$42="Menor"),CONCATENATE("R6C",'Mapa final'!$O$42),"")</f>
        <v/>
      </c>
      <c r="S51" s="78" t="str">
        <f>IF(AND('Mapa final'!$Y$43="Muy Baja",'Mapa final'!$AA$43="Menor"),CONCATENATE("R6C",'Mapa final'!$O$43),"")</f>
        <v/>
      </c>
      <c r="T51" s="78" t="str">
        <f>IF(AND('Mapa final'!$Y$44="Muy Baja",'Mapa final'!$AA$44="Menor"),CONCATENATE("R6C",'Mapa final'!$O$44),"")</f>
        <v/>
      </c>
      <c r="U51" s="79" t="str">
        <f>IF(AND('Mapa final'!$Y$45="Muy Baja",'Mapa final'!$AA$45="Menor"),CONCATENATE("R6C",'Mapa final'!$O$45),"")</f>
        <v/>
      </c>
      <c r="V51" s="68" t="str">
        <f>IF(AND('Mapa final'!$Y$40="Muy Baja",'Mapa final'!$AA$40="Moderado"),CONCATENATE("R6C",'Mapa final'!$O$40),"")</f>
        <v/>
      </c>
      <c r="W51" s="69" t="str">
        <f>IF(AND('Mapa final'!$Y$41="Muy Baja",'Mapa final'!$AA$41="Moderado"),CONCATENATE("R6C",'Mapa final'!$O$41),"")</f>
        <v/>
      </c>
      <c r="X51" s="69" t="str">
        <f>IF(AND('Mapa final'!$Y$42="Muy Baja",'Mapa final'!$AA$42="Moderado"),CONCATENATE("R6C",'Mapa final'!$O$42),"")</f>
        <v/>
      </c>
      <c r="Y51" s="69" t="str">
        <f>IF(AND('Mapa final'!$Y$43="Muy Baja",'Mapa final'!$AA$43="Moderado"),CONCATENATE("R6C",'Mapa final'!$O$43),"")</f>
        <v/>
      </c>
      <c r="Z51" s="69" t="str">
        <f>IF(AND('Mapa final'!$Y$44="Muy Baja",'Mapa final'!$AA$44="Moderado"),CONCATENATE("R6C",'Mapa final'!$O$44),"")</f>
        <v/>
      </c>
      <c r="AA51" s="70" t="str">
        <f>IF(AND('Mapa final'!$Y$45="Muy Baja",'Mapa final'!$AA$45="Moderado"),CONCATENATE("R6C",'Mapa final'!$O$45),"")</f>
        <v/>
      </c>
      <c r="AB51" s="52" t="str">
        <f>IF(AND('Mapa final'!$Y$40="Muy Baja",'Mapa final'!$AA$40="Mayor"),CONCATENATE("R6C",'Mapa final'!$O$40),"")</f>
        <v/>
      </c>
      <c r="AC51" s="53" t="str">
        <f>IF(AND('Mapa final'!$Y$41="Muy Baja",'Mapa final'!$AA$41="Mayor"),CONCATENATE("R6C",'Mapa final'!$O$41),"")</f>
        <v/>
      </c>
      <c r="AD51" s="58" t="str">
        <f>IF(AND('Mapa final'!$Y$42="Muy Baja",'Mapa final'!$AA$42="Mayor"),CONCATENATE("R6C",'Mapa final'!$O$42),"")</f>
        <v/>
      </c>
      <c r="AE51" s="58" t="str">
        <f>IF(AND('Mapa final'!$Y$43="Muy Baja",'Mapa final'!$AA$43="Mayor"),CONCATENATE("R6C",'Mapa final'!$O$43),"")</f>
        <v/>
      </c>
      <c r="AF51" s="58" t="str">
        <f>IF(AND('Mapa final'!$Y$44="Muy Baja",'Mapa final'!$AA$44="Mayor"),CONCATENATE("R6C",'Mapa final'!$O$44),"")</f>
        <v/>
      </c>
      <c r="AG51" s="54" t="str">
        <f>IF(AND('Mapa final'!$Y$45="Muy Baja",'Mapa final'!$AA$45="Mayor"),CONCATENATE("R6C",'Mapa final'!$O$45),"")</f>
        <v/>
      </c>
      <c r="AH51" s="55" t="str">
        <f>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251"/>
      <c r="C52" s="251"/>
      <c r="D52" s="252"/>
      <c r="E52" s="352"/>
      <c r="F52" s="353"/>
      <c r="G52" s="353"/>
      <c r="H52" s="353"/>
      <c r="I52" s="368"/>
      <c r="J52" s="77" t="str">
        <f>IF(AND('Mapa final'!$Y$46="Muy Baja",'Mapa final'!$AA$46="Leve"),CONCATENATE("R7C",'Mapa final'!$O$46),"")</f>
        <v/>
      </c>
      <c r="K52" s="78" t="str">
        <f>IF(AND('Mapa final'!$Y$47="Muy Baja",'Mapa final'!$AA$47="Leve"),CONCATENATE("R7C",'Mapa final'!$O$47),"")</f>
        <v/>
      </c>
      <c r="L52" s="78" t="str">
        <f>IF(AND('Mapa final'!$Y$48="Muy Baja",'Mapa final'!$AA$48="Leve"),CONCATENATE("R7C",'Mapa final'!$O$48),"")</f>
        <v/>
      </c>
      <c r="M52" s="78" t="str">
        <f>IF(AND('Mapa final'!$Y$49="Muy Baja",'Mapa final'!$AA$49="Leve"),CONCATENATE("R7C",'Mapa final'!$O$49),"")</f>
        <v/>
      </c>
      <c r="N52" s="78" t="str">
        <f>IF(AND('Mapa final'!$Y$50="Muy Baja",'Mapa final'!$AA$50="Leve"),CONCATENATE("R7C",'Mapa final'!$O$50),"")</f>
        <v/>
      </c>
      <c r="O52" s="79" t="str">
        <f>IF(AND('Mapa final'!$Y$51="Muy Baja",'Mapa final'!$AA$51="Leve"),CONCATENATE("R7C",'Mapa final'!$O$51),"")</f>
        <v/>
      </c>
      <c r="P52" s="77" t="str">
        <f>IF(AND('Mapa final'!$Y$46="Muy Baja",'Mapa final'!$AA$46="Menor"),CONCATENATE("R7C",'Mapa final'!$O$46),"")</f>
        <v/>
      </c>
      <c r="Q52" s="78" t="str">
        <f>IF(AND('Mapa final'!$Y$47="Muy Baja",'Mapa final'!$AA$47="Menor"),CONCATENATE("R7C",'Mapa final'!$O$47),"")</f>
        <v/>
      </c>
      <c r="R52" s="78" t="str">
        <f>IF(AND('Mapa final'!$Y$48="Muy Baja",'Mapa final'!$AA$48="Menor"),CONCATENATE("R7C",'Mapa final'!$O$48),"")</f>
        <v/>
      </c>
      <c r="S52" s="78" t="str">
        <f>IF(AND('Mapa final'!$Y$49="Muy Baja",'Mapa final'!$AA$49="Menor"),CONCATENATE("R7C",'Mapa final'!$O$49),"")</f>
        <v/>
      </c>
      <c r="T52" s="78" t="str">
        <f>IF(AND('Mapa final'!$Y$50="Muy Baja",'Mapa final'!$AA$50="Menor"),CONCATENATE("R7C",'Mapa final'!$O$50),"")</f>
        <v/>
      </c>
      <c r="U52" s="79" t="str">
        <f>IF(AND('Mapa final'!$Y$51="Muy Baja",'Mapa final'!$AA$51="Menor"),CONCATENATE("R7C",'Mapa final'!$O$51),"")</f>
        <v/>
      </c>
      <c r="V52" s="68" t="str">
        <f>IF(AND('Mapa final'!$Y$46="Muy Baja",'Mapa final'!$AA$46="Moderado"),CONCATENATE("R7C",'Mapa final'!$O$46),"")</f>
        <v/>
      </c>
      <c r="W52" s="69" t="str">
        <f>IF(AND('Mapa final'!$Y$47="Muy Baja",'Mapa final'!$AA$47="Moderado"),CONCATENATE("R7C",'Mapa final'!$O$47),"")</f>
        <v/>
      </c>
      <c r="X52" s="69" t="str">
        <f>IF(AND('Mapa final'!$Y$48="Muy Baja",'Mapa final'!$AA$48="Moderado"),CONCATENATE("R7C",'Mapa final'!$O$48),"")</f>
        <v/>
      </c>
      <c r="Y52" s="69" t="str">
        <f>IF(AND('Mapa final'!$Y$49="Muy Baja",'Mapa final'!$AA$49="Moderado"),CONCATENATE("R7C",'Mapa final'!$O$49),"")</f>
        <v/>
      </c>
      <c r="Z52" s="69" t="str">
        <f>IF(AND('Mapa final'!$Y$50="Muy Baja",'Mapa final'!$AA$50="Moderado"),CONCATENATE("R7C",'Mapa final'!$O$50),"")</f>
        <v/>
      </c>
      <c r="AA52" s="70" t="str">
        <f>IF(AND('Mapa final'!$Y$51="Muy Baja",'Mapa final'!$AA$51="Moderado"),CONCATENATE("R7C",'Mapa final'!$O$51),"")</f>
        <v/>
      </c>
      <c r="AB52" s="52" t="str">
        <f>IF(AND('Mapa final'!$Y$46="Muy Baja",'Mapa final'!$AA$46="Mayor"),CONCATENATE("R7C",'Mapa final'!$O$46),"")</f>
        <v/>
      </c>
      <c r="AC52" s="53" t="str">
        <f>IF(AND('Mapa final'!$Y$47="Muy Baja",'Mapa final'!$AA$47="Mayor"),CONCATENATE("R7C",'Mapa final'!$O$47),"")</f>
        <v/>
      </c>
      <c r="AD52" s="58" t="str">
        <f>IF(AND('Mapa final'!$Y$48="Muy Baja",'Mapa final'!$AA$48="Mayor"),CONCATENATE("R7C",'Mapa final'!$O$48),"")</f>
        <v/>
      </c>
      <c r="AE52" s="58" t="str">
        <f>IF(AND('Mapa final'!$Y$49="Muy Baja",'Mapa final'!$AA$49="Mayor"),CONCATENATE("R7C",'Mapa final'!$O$49),"")</f>
        <v/>
      </c>
      <c r="AF52" s="58" t="str">
        <f>IF(AND('Mapa final'!$Y$50="Muy Baja",'Mapa final'!$AA$50="Mayor"),CONCATENATE("R7C",'Mapa final'!$O$50),"")</f>
        <v/>
      </c>
      <c r="AG52" s="54" t="str">
        <f>IF(AND('Mapa final'!$Y$51="Muy Baja",'Mapa final'!$AA$51="Mayor"),CONCATENATE("R7C",'Mapa final'!$O$51),"")</f>
        <v/>
      </c>
      <c r="AH52" s="55" t="str">
        <f>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251"/>
      <c r="C53" s="251"/>
      <c r="D53" s="252"/>
      <c r="E53" s="352"/>
      <c r="F53" s="353"/>
      <c r="G53" s="353"/>
      <c r="H53" s="353"/>
      <c r="I53" s="368"/>
      <c r="J53" s="77" t="str">
        <f>IF(AND('Mapa final'!$Y$52="Muy Baja",'Mapa final'!$AA$52="Leve"),CONCATENATE("R8C",'Mapa final'!$O$52),"")</f>
        <v/>
      </c>
      <c r="K53" s="78" t="str">
        <f>IF(AND('Mapa final'!$Y$53="Muy Baja",'Mapa final'!$AA$53="Leve"),CONCATENATE("R8C",'Mapa final'!$O$53),"")</f>
        <v/>
      </c>
      <c r="L53" s="78" t="str">
        <f>IF(AND('Mapa final'!$Y$54="Muy Baja",'Mapa final'!$AA$54="Leve"),CONCATENATE("R8C",'Mapa final'!$O$54),"")</f>
        <v/>
      </c>
      <c r="M53" s="78" t="str">
        <f>IF(AND('Mapa final'!$Y$55="Muy Baja",'Mapa final'!$AA$55="Leve"),CONCATENATE("R8C",'Mapa final'!$O$55),"")</f>
        <v/>
      </c>
      <c r="N53" s="78" t="str">
        <f>IF(AND('Mapa final'!$Y$56="Muy Baja",'Mapa final'!$AA$56="Leve"),CONCATENATE("R8C",'Mapa final'!$O$56),"")</f>
        <v/>
      </c>
      <c r="O53" s="79" t="str">
        <f>IF(AND('Mapa final'!$Y$57="Muy Baja",'Mapa final'!$AA$57="Leve"),CONCATENATE("R8C",'Mapa final'!$O$57),"")</f>
        <v/>
      </c>
      <c r="P53" s="77" t="str">
        <f>IF(AND('Mapa final'!$Y$52="Muy Baja",'Mapa final'!$AA$52="Menor"),CONCATENATE("R8C",'Mapa final'!$O$52),"")</f>
        <v/>
      </c>
      <c r="Q53" s="78" t="str">
        <f>IF(AND('Mapa final'!$Y$53="Muy Baja",'Mapa final'!$AA$53="Menor"),CONCATENATE("R8C",'Mapa final'!$O$53),"")</f>
        <v/>
      </c>
      <c r="R53" s="78" t="str">
        <f>IF(AND('Mapa final'!$Y$54="Muy Baja",'Mapa final'!$AA$54="Menor"),CONCATENATE("R8C",'Mapa final'!$O$54),"")</f>
        <v/>
      </c>
      <c r="S53" s="78" t="str">
        <f>IF(AND('Mapa final'!$Y$55="Muy Baja",'Mapa final'!$AA$55="Menor"),CONCATENATE("R8C",'Mapa final'!$O$55),"")</f>
        <v/>
      </c>
      <c r="T53" s="78" t="str">
        <f>IF(AND('Mapa final'!$Y$56="Muy Baja",'Mapa final'!$AA$56="Menor"),CONCATENATE("R8C",'Mapa final'!$O$56),"")</f>
        <v/>
      </c>
      <c r="U53" s="79" t="str">
        <f>IF(AND('Mapa final'!$Y$57="Muy Baja",'Mapa final'!$AA$57="Menor"),CONCATENATE("R8C",'Mapa final'!$O$57),"")</f>
        <v/>
      </c>
      <c r="V53" s="68" t="str">
        <f>IF(AND('Mapa final'!$Y$52="Muy Baja",'Mapa final'!$AA$52="Moderado"),CONCATENATE("R8C",'Mapa final'!$O$52),"")</f>
        <v/>
      </c>
      <c r="W53" s="69" t="str">
        <f>IF(AND('Mapa final'!$Y$53="Muy Baja",'Mapa final'!$AA$53="Moderado"),CONCATENATE("R8C",'Mapa final'!$O$53),"")</f>
        <v/>
      </c>
      <c r="X53" s="69" t="str">
        <f>IF(AND('Mapa final'!$Y$54="Muy Baja",'Mapa final'!$AA$54="Moderado"),CONCATENATE("R8C",'Mapa final'!$O$54),"")</f>
        <v/>
      </c>
      <c r="Y53" s="69" t="str">
        <f>IF(AND('Mapa final'!$Y$55="Muy Baja",'Mapa final'!$AA$55="Moderado"),CONCATENATE("R8C",'Mapa final'!$O$55),"")</f>
        <v/>
      </c>
      <c r="Z53" s="69" t="str">
        <f>IF(AND('Mapa final'!$Y$56="Muy Baja",'Mapa final'!$AA$56="Moderado"),CONCATENATE("R8C",'Mapa final'!$O$56),"")</f>
        <v/>
      </c>
      <c r="AA53" s="70" t="str">
        <f>IF(AND('Mapa final'!$Y$57="Muy Baja",'Mapa final'!$AA$57="Moderado"),CONCATENATE("R8C",'Mapa final'!$O$57),"")</f>
        <v/>
      </c>
      <c r="AB53" s="52" t="str">
        <f>IF(AND('Mapa final'!$Y$52="Muy Baja",'Mapa final'!$AA$52="Mayor"),CONCATENATE("R8C",'Mapa final'!$O$52),"")</f>
        <v/>
      </c>
      <c r="AC53" s="53" t="str">
        <f>IF(AND('Mapa final'!$Y$53="Muy Baja",'Mapa final'!$AA$53="Mayor"),CONCATENATE("R8C",'Mapa final'!$O$53),"")</f>
        <v/>
      </c>
      <c r="AD53" s="58" t="str">
        <f>IF(AND('Mapa final'!$Y$54="Muy Baja",'Mapa final'!$AA$54="Mayor"),CONCATENATE("R8C",'Mapa final'!$O$54),"")</f>
        <v/>
      </c>
      <c r="AE53" s="58" t="str">
        <f>IF(AND('Mapa final'!$Y$55="Muy Baja",'Mapa final'!$AA$55="Mayor"),CONCATENATE("R8C",'Mapa final'!$O$55),"")</f>
        <v/>
      </c>
      <c r="AF53" s="58" t="str">
        <f>IF(AND('Mapa final'!$Y$56="Muy Baja",'Mapa final'!$AA$56="Mayor"),CONCATENATE("R8C",'Mapa final'!$O$56),"")</f>
        <v/>
      </c>
      <c r="AG53" s="54" t="str">
        <f>IF(AND('Mapa final'!$Y$57="Muy Baja",'Mapa final'!$AA$57="Mayor"),CONCATENATE("R8C",'Mapa final'!$O$57),"")</f>
        <v/>
      </c>
      <c r="AH53" s="55" t="str">
        <f>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251"/>
      <c r="C54" s="251"/>
      <c r="D54" s="252"/>
      <c r="E54" s="352"/>
      <c r="F54" s="353"/>
      <c r="G54" s="353"/>
      <c r="H54" s="353"/>
      <c r="I54" s="368"/>
      <c r="J54" s="77" t="str">
        <f>IF(AND('Mapa final'!$Y$58="Muy Baja",'Mapa final'!$AA$58="Leve"),CONCATENATE("R9C",'Mapa final'!$O$58),"")</f>
        <v/>
      </c>
      <c r="K54" s="78" t="str">
        <f>IF(AND('Mapa final'!$Y$59="Muy Baja",'Mapa final'!$AA$59="Leve"),CONCATENATE("R9C",'Mapa final'!$O$59),"")</f>
        <v/>
      </c>
      <c r="L54" s="78" t="str">
        <f>IF(AND('Mapa final'!$Y$60="Muy Baja",'Mapa final'!$AA$60="Leve"),CONCATENATE("R9C",'Mapa final'!$O$60),"")</f>
        <v/>
      </c>
      <c r="M54" s="78" t="str">
        <f>IF(AND('Mapa final'!$Y$61="Muy Baja",'Mapa final'!$AA$61="Leve"),CONCATENATE("R9C",'Mapa final'!$O$61),"")</f>
        <v/>
      </c>
      <c r="N54" s="78" t="str">
        <f>IF(AND('Mapa final'!$Y$62="Muy Baja",'Mapa final'!$AA$62="Leve"),CONCATENATE("R9C",'Mapa final'!$O$62),"")</f>
        <v/>
      </c>
      <c r="O54" s="79" t="str">
        <f>IF(AND('Mapa final'!$Y$63="Muy Baja",'Mapa final'!$AA$63="Leve"),CONCATENATE("R9C",'Mapa final'!$O$63),"")</f>
        <v/>
      </c>
      <c r="P54" s="77" t="str">
        <f>IF(AND('Mapa final'!$Y$58="Muy Baja",'Mapa final'!$AA$58="Menor"),CONCATENATE("R9C",'Mapa final'!$O$58),"")</f>
        <v/>
      </c>
      <c r="Q54" s="78" t="str">
        <f>IF(AND('Mapa final'!$Y$59="Muy Baja",'Mapa final'!$AA$59="Menor"),CONCATENATE("R9C",'Mapa final'!$O$59),"")</f>
        <v/>
      </c>
      <c r="R54" s="78" t="str">
        <f>IF(AND('Mapa final'!$Y$60="Muy Baja",'Mapa final'!$AA$60="Menor"),CONCATENATE("R9C",'Mapa final'!$O$60),"")</f>
        <v/>
      </c>
      <c r="S54" s="78" t="str">
        <f>IF(AND('Mapa final'!$Y$61="Muy Baja",'Mapa final'!$AA$61="Menor"),CONCATENATE("R9C",'Mapa final'!$O$61),"")</f>
        <v/>
      </c>
      <c r="T54" s="78" t="str">
        <f>IF(AND('Mapa final'!$Y$62="Muy Baja",'Mapa final'!$AA$62="Menor"),CONCATENATE("R9C",'Mapa final'!$O$62),"")</f>
        <v/>
      </c>
      <c r="U54" s="79" t="str">
        <f>IF(AND('Mapa final'!$Y$63="Muy Baja",'Mapa final'!$AA$63="Menor"),CONCATENATE("R9C",'Mapa final'!$O$63),"")</f>
        <v/>
      </c>
      <c r="V54" s="68" t="str">
        <f>IF(AND('Mapa final'!$Y$58="Muy Baja",'Mapa final'!$AA$58="Moderado"),CONCATENATE("R9C",'Mapa final'!$O$58),"")</f>
        <v/>
      </c>
      <c r="W54" s="69" t="str">
        <f>IF(AND('Mapa final'!$Y$59="Muy Baja",'Mapa final'!$AA$59="Moderado"),CONCATENATE("R9C",'Mapa final'!$O$59),"")</f>
        <v/>
      </c>
      <c r="X54" s="69" t="str">
        <f>IF(AND('Mapa final'!$Y$60="Muy Baja",'Mapa final'!$AA$60="Moderado"),CONCATENATE("R9C",'Mapa final'!$O$60),"")</f>
        <v/>
      </c>
      <c r="Y54" s="69" t="str">
        <f>IF(AND('Mapa final'!$Y$61="Muy Baja",'Mapa final'!$AA$61="Moderado"),CONCATENATE("R9C",'Mapa final'!$O$61),"")</f>
        <v/>
      </c>
      <c r="Z54" s="69" t="str">
        <f>IF(AND('Mapa final'!$Y$62="Muy Baja",'Mapa final'!$AA$62="Moderado"),CONCATENATE("R9C",'Mapa final'!$O$62),"")</f>
        <v/>
      </c>
      <c r="AA54" s="70"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8" t="str">
        <f>IF(AND('Mapa final'!$Y$60="Muy Baja",'Mapa final'!$AA$60="Mayor"),CONCATENATE("R9C",'Mapa final'!$O$60),"")</f>
        <v/>
      </c>
      <c r="AE54" s="58" t="str">
        <f>IF(AND('Mapa final'!$Y$61="Muy Baja",'Mapa final'!$AA$61="Mayor"),CONCATENATE("R9C",'Mapa final'!$O$61),"")</f>
        <v/>
      </c>
      <c r="AF54" s="58"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251"/>
      <c r="C55" s="251"/>
      <c r="D55" s="252"/>
      <c r="E55" s="354"/>
      <c r="F55" s="355"/>
      <c r="G55" s="355"/>
      <c r="H55" s="355"/>
      <c r="I55" s="369"/>
      <c r="J55" s="80" t="str">
        <f>IF(AND('Mapa final'!$Y$64="Muy Baja",'Mapa final'!$AA$64="Leve"),CONCATENATE("R10C",'Mapa final'!$O$64),"")</f>
        <v/>
      </c>
      <c r="K55" s="81" t="str">
        <f>IF(AND('Mapa final'!$Y$65="Muy Baja",'Mapa final'!$AA$65="Leve"),CONCATENATE("R10C",'Mapa final'!$O$65),"")</f>
        <v/>
      </c>
      <c r="L55" s="81" t="str">
        <f>IF(AND('Mapa final'!$Y$66="Muy Baja",'Mapa final'!$AA$66="Leve"),CONCATENATE("R10C",'Mapa final'!$O$66),"")</f>
        <v/>
      </c>
      <c r="M55" s="81" t="str">
        <f>IF(AND('Mapa final'!$Y$67="Muy Baja",'Mapa final'!$AA$67="Leve"),CONCATENATE("R10C",'Mapa final'!$O$67),"")</f>
        <v/>
      </c>
      <c r="N55" s="81" t="str">
        <f>IF(AND('Mapa final'!$Y$68="Muy Baja",'Mapa final'!$AA$68="Leve"),CONCATENATE("R10C",'Mapa final'!$O$68),"")</f>
        <v/>
      </c>
      <c r="O55" s="82" t="str">
        <f>IF(AND('Mapa final'!$Y$69="Muy Baja",'Mapa final'!$AA$69="Leve"),CONCATENATE("R10C",'Mapa final'!$O$69),"")</f>
        <v/>
      </c>
      <c r="P55" s="80" t="str">
        <f>IF(AND('Mapa final'!$Y$64="Muy Baja",'Mapa final'!$AA$64="Menor"),CONCATENATE("R10C",'Mapa final'!$O$64),"")</f>
        <v/>
      </c>
      <c r="Q55" s="81" t="str">
        <f>IF(AND('Mapa final'!$Y$65="Muy Baja",'Mapa final'!$AA$65="Menor"),CONCATENATE("R10C",'Mapa final'!$O$65),"")</f>
        <v/>
      </c>
      <c r="R55" s="81" t="str">
        <f>IF(AND('Mapa final'!$Y$66="Muy Baja",'Mapa final'!$AA$66="Menor"),CONCATENATE("R10C",'Mapa final'!$O$66),"")</f>
        <v/>
      </c>
      <c r="S55" s="81" t="str">
        <f>IF(AND('Mapa final'!$Y$67="Muy Baja",'Mapa final'!$AA$67="Menor"),CONCATENATE("R10C",'Mapa final'!$O$67),"")</f>
        <v/>
      </c>
      <c r="T55" s="81" t="str">
        <f>IF(AND('Mapa final'!$Y$68="Muy Baja",'Mapa final'!$AA$68="Menor"),CONCATENATE("R10C",'Mapa final'!$O$68),"")</f>
        <v/>
      </c>
      <c r="U55" s="82" t="str">
        <f>IF(AND('Mapa final'!$Y$69="Muy Baja",'Mapa final'!$AA$69="Menor"),CONCATENATE("R10C",'Mapa final'!$O$69),"")</f>
        <v/>
      </c>
      <c r="V55" s="71" t="str">
        <f>IF(AND('Mapa final'!$Y$64="Muy Baja",'Mapa final'!$AA$64="Moderado"),CONCATENATE("R10C",'Mapa final'!$O$64),"")</f>
        <v/>
      </c>
      <c r="W55" s="72" t="str">
        <f>IF(AND('Mapa final'!$Y$65="Muy Baja",'Mapa final'!$AA$65="Moderado"),CONCATENATE("R10C",'Mapa final'!$O$65),"")</f>
        <v/>
      </c>
      <c r="X55" s="72" t="str">
        <f>IF(AND('Mapa final'!$Y$66="Muy Baja",'Mapa final'!$AA$66="Moderado"),CONCATENATE("R10C",'Mapa final'!$O$66),"")</f>
        <v/>
      </c>
      <c r="Y55" s="72" t="str">
        <f>IF(AND('Mapa final'!$Y$67="Muy Baja",'Mapa final'!$AA$67="Moderado"),CONCATENATE("R10C",'Mapa final'!$O$67),"")</f>
        <v/>
      </c>
      <c r="Z55" s="72" t="str">
        <f>IF(AND('Mapa final'!$Y$68="Muy Baja",'Mapa final'!$AA$68="Moderado"),CONCATENATE("R10C",'Mapa final'!$O$68),"")</f>
        <v/>
      </c>
      <c r="AA55" s="73" t="str">
        <f>IF(AND('Mapa final'!$Y$69="Muy Baja",'Mapa final'!$AA$69="Moderado"),CONCATENATE("R10C",'Mapa final'!$O$69),"")</f>
        <v/>
      </c>
      <c r="AB55" s="59" t="str">
        <f>IF(AND('Mapa final'!$Y$64="Muy Baja",'Mapa final'!$AA$64="Mayor"),CONCATENATE("R10C",'Mapa final'!$O$64),"")</f>
        <v/>
      </c>
      <c r="AC55" s="60" t="str">
        <f>IF(AND('Mapa final'!$Y$65="Muy Baja",'Mapa final'!$AA$65="Mayor"),CONCATENATE("R10C",'Mapa final'!$O$65),"")</f>
        <v/>
      </c>
      <c r="AD55" s="60" t="str">
        <f>IF(AND('Mapa final'!$Y$66="Muy Baja",'Mapa final'!$AA$66="Mayor"),CONCATENATE("R10C",'Mapa final'!$O$66),"")</f>
        <v/>
      </c>
      <c r="AE55" s="60" t="str">
        <f>IF(AND('Mapa final'!$Y$67="Muy Baja",'Mapa final'!$AA$67="Mayor"),CONCATENATE("R10C",'Mapa final'!$O$67),"")</f>
        <v/>
      </c>
      <c r="AF55" s="60" t="str">
        <f>IF(AND('Mapa final'!$Y$68="Muy Baja",'Mapa final'!$AA$68="Mayor"),CONCATENATE("R10C",'Mapa final'!$O$68),"")</f>
        <v/>
      </c>
      <c r="AG55" s="61" t="str">
        <f>IF(AND('Mapa final'!$Y$69="Muy Baja",'Mapa final'!$AA$69="Mayor"),CONCATENATE("R10C",'Mapa final'!$O$69),"")</f>
        <v/>
      </c>
      <c r="AH55" s="62" t="str">
        <f>IF(AND('Mapa final'!$Y$64="Muy Baja",'Mapa final'!$AA$64="Catastrófico"),CONCATENATE("R10C",'Mapa final'!$O$64),"")</f>
        <v/>
      </c>
      <c r="AI55" s="63" t="str">
        <f>IF(AND('Mapa final'!$Y$65="Muy Baja",'Mapa final'!$AA$65="Catastrófico"),CONCATENATE("R10C",'Mapa final'!$O$65),"")</f>
        <v/>
      </c>
      <c r="AJ55" s="63" t="str">
        <f>IF(AND('Mapa final'!$Y$66="Muy Baja",'Mapa final'!$AA$66="Catastrófico"),CONCATENATE("R10C",'Mapa final'!$O$66),"")</f>
        <v/>
      </c>
      <c r="AK55" s="63" t="str">
        <f>IF(AND('Mapa final'!$Y$67="Muy Baja",'Mapa final'!$AA$67="Catastrófico"),CONCATENATE("R10C",'Mapa final'!$O$67),"")</f>
        <v/>
      </c>
      <c r="AL55" s="63" t="str">
        <f>IF(AND('Mapa final'!$Y$68="Muy Baja",'Mapa final'!$AA$68="Catastrófico"),CONCATENATE("R10C",'Mapa final'!$O$68),"")</f>
        <v/>
      </c>
      <c r="AM55" s="64" t="str">
        <f>IF(AND('Mapa final'!$Y$69="Muy Baja",'Mapa final'!$AA$69="Catastrófico"),CONCATENATE("R10C",'Mapa final'!$O$69),"")</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348" t="s">
        <v>112</v>
      </c>
      <c r="K56" s="349"/>
      <c r="L56" s="349"/>
      <c r="M56" s="349"/>
      <c r="N56" s="349"/>
      <c r="O56" s="367"/>
      <c r="P56" s="348" t="s">
        <v>111</v>
      </c>
      <c r="Q56" s="349"/>
      <c r="R56" s="349"/>
      <c r="S56" s="349"/>
      <c r="T56" s="349"/>
      <c r="U56" s="367"/>
      <c r="V56" s="348" t="s">
        <v>110</v>
      </c>
      <c r="W56" s="349"/>
      <c r="X56" s="349"/>
      <c r="Y56" s="349"/>
      <c r="Z56" s="349"/>
      <c r="AA56" s="367"/>
      <c r="AB56" s="348" t="s">
        <v>109</v>
      </c>
      <c r="AC56" s="388"/>
      <c r="AD56" s="349"/>
      <c r="AE56" s="349"/>
      <c r="AF56" s="349"/>
      <c r="AG56" s="367"/>
      <c r="AH56" s="348" t="s">
        <v>108</v>
      </c>
      <c r="AI56" s="349"/>
      <c r="AJ56" s="349"/>
      <c r="AK56" s="349"/>
      <c r="AL56" s="349"/>
      <c r="AM56" s="367"/>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352"/>
      <c r="K57" s="353"/>
      <c r="L57" s="353"/>
      <c r="M57" s="353"/>
      <c r="N57" s="353"/>
      <c r="O57" s="368"/>
      <c r="P57" s="352"/>
      <c r="Q57" s="353"/>
      <c r="R57" s="353"/>
      <c r="S57" s="353"/>
      <c r="T57" s="353"/>
      <c r="U57" s="368"/>
      <c r="V57" s="352"/>
      <c r="W57" s="353"/>
      <c r="X57" s="353"/>
      <c r="Y57" s="353"/>
      <c r="Z57" s="353"/>
      <c r="AA57" s="368"/>
      <c r="AB57" s="352"/>
      <c r="AC57" s="353"/>
      <c r="AD57" s="353"/>
      <c r="AE57" s="353"/>
      <c r="AF57" s="353"/>
      <c r="AG57" s="368"/>
      <c r="AH57" s="352"/>
      <c r="AI57" s="353"/>
      <c r="AJ57" s="353"/>
      <c r="AK57" s="353"/>
      <c r="AL57" s="353"/>
      <c r="AM57" s="368"/>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352"/>
      <c r="K58" s="353"/>
      <c r="L58" s="353"/>
      <c r="M58" s="353"/>
      <c r="N58" s="353"/>
      <c r="O58" s="368"/>
      <c r="P58" s="352"/>
      <c r="Q58" s="353"/>
      <c r="R58" s="353"/>
      <c r="S58" s="353"/>
      <c r="T58" s="353"/>
      <c r="U58" s="368"/>
      <c r="V58" s="352"/>
      <c r="W58" s="353"/>
      <c r="X58" s="353"/>
      <c r="Y58" s="353"/>
      <c r="Z58" s="353"/>
      <c r="AA58" s="368"/>
      <c r="AB58" s="352"/>
      <c r="AC58" s="353"/>
      <c r="AD58" s="353"/>
      <c r="AE58" s="353"/>
      <c r="AF58" s="353"/>
      <c r="AG58" s="368"/>
      <c r="AH58" s="352"/>
      <c r="AI58" s="353"/>
      <c r="AJ58" s="353"/>
      <c r="AK58" s="353"/>
      <c r="AL58" s="353"/>
      <c r="AM58" s="368"/>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352"/>
      <c r="K59" s="353"/>
      <c r="L59" s="353"/>
      <c r="M59" s="353"/>
      <c r="N59" s="353"/>
      <c r="O59" s="368"/>
      <c r="P59" s="352"/>
      <c r="Q59" s="353"/>
      <c r="R59" s="353"/>
      <c r="S59" s="353"/>
      <c r="T59" s="353"/>
      <c r="U59" s="368"/>
      <c r="V59" s="352"/>
      <c r="W59" s="353"/>
      <c r="X59" s="353"/>
      <c r="Y59" s="353"/>
      <c r="Z59" s="353"/>
      <c r="AA59" s="368"/>
      <c r="AB59" s="352"/>
      <c r="AC59" s="353"/>
      <c r="AD59" s="353"/>
      <c r="AE59" s="353"/>
      <c r="AF59" s="353"/>
      <c r="AG59" s="368"/>
      <c r="AH59" s="352"/>
      <c r="AI59" s="353"/>
      <c r="AJ59" s="353"/>
      <c r="AK59" s="353"/>
      <c r="AL59" s="353"/>
      <c r="AM59" s="368"/>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352"/>
      <c r="K60" s="353"/>
      <c r="L60" s="353"/>
      <c r="M60" s="353"/>
      <c r="N60" s="353"/>
      <c r="O60" s="368"/>
      <c r="P60" s="352"/>
      <c r="Q60" s="353"/>
      <c r="R60" s="353"/>
      <c r="S60" s="353"/>
      <c r="T60" s="353"/>
      <c r="U60" s="368"/>
      <c r="V60" s="352"/>
      <c r="W60" s="353"/>
      <c r="X60" s="353"/>
      <c r="Y60" s="353"/>
      <c r="Z60" s="353"/>
      <c r="AA60" s="368"/>
      <c r="AB60" s="352"/>
      <c r="AC60" s="353"/>
      <c r="AD60" s="353"/>
      <c r="AE60" s="353"/>
      <c r="AF60" s="353"/>
      <c r="AG60" s="368"/>
      <c r="AH60" s="352"/>
      <c r="AI60" s="353"/>
      <c r="AJ60" s="353"/>
      <c r="AK60" s="353"/>
      <c r="AL60" s="353"/>
      <c r="AM60" s="368"/>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354"/>
      <c r="K61" s="355"/>
      <c r="L61" s="355"/>
      <c r="M61" s="355"/>
      <c r="N61" s="355"/>
      <c r="O61" s="369"/>
      <c r="P61" s="354"/>
      <c r="Q61" s="355"/>
      <c r="R61" s="355"/>
      <c r="S61" s="355"/>
      <c r="T61" s="355"/>
      <c r="U61" s="369"/>
      <c r="V61" s="354"/>
      <c r="W61" s="355"/>
      <c r="X61" s="355"/>
      <c r="Y61" s="355"/>
      <c r="Z61" s="355"/>
      <c r="AA61" s="369"/>
      <c r="AB61" s="354"/>
      <c r="AC61" s="355"/>
      <c r="AD61" s="355"/>
      <c r="AE61" s="355"/>
      <c r="AF61" s="355"/>
      <c r="AG61" s="369"/>
      <c r="AH61" s="354"/>
      <c r="AI61" s="355"/>
      <c r="AJ61" s="355"/>
      <c r="AK61" s="355"/>
      <c r="AL61" s="355"/>
      <c r="AM61" s="369"/>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25">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4"/>
      <c r="B1" s="389" t="s">
        <v>55</v>
      </c>
      <c r="C1" s="389"/>
      <c r="D1" s="389"/>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390" t="s">
        <v>63</v>
      </c>
      <c r="C1" s="390"/>
      <c r="D1" s="390"/>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105"/>
      <c r="C3" s="36" t="s">
        <v>56</v>
      </c>
      <c r="D3" s="36" t="s">
        <v>57</v>
      </c>
      <c r="E3" s="84"/>
      <c r="F3" s="84"/>
      <c r="G3" s="84"/>
      <c r="H3" s="84"/>
      <c r="I3" s="84"/>
      <c r="J3" s="84"/>
      <c r="K3" s="84"/>
      <c r="L3" s="84"/>
      <c r="M3" s="84"/>
      <c r="N3" s="84"/>
      <c r="O3" s="84"/>
      <c r="P3" s="84"/>
      <c r="Q3" s="84"/>
      <c r="R3" s="84"/>
      <c r="S3" s="84"/>
      <c r="T3" s="84"/>
      <c r="U3" s="84"/>
    </row>
    <row r="4" spans="1:21" ht="33.75" x14ac:dyDescent="0.25">
      <c r="A4" s="104" t="s">
        <v>83</v>
      </c>
      <c r="B4" s="39" t="s">
        <v>101</v>
      </c>
      <c r="C4" s="44" t="s">
        <v>158</v>
      </c>
      <c r="D4" s="37" t="s">
        <v>97</v>
      </c>
      <c r="E4" s="84"/>
      <c r="F4" s="84"/>
      <c r="G4" s="84"/>
      <c r="H4" s="84"/>
      <c r="I4" s="84"/>
      <c r="J4" s="84"/>
      <c r="K4" s="84"/>
      <c r="L4" s="84"/>
      <c r="M4" s="84"/>
      <c r="N4" s="84"/>
      <c r="O4" s="84"/>
      <c r="P4" s="84"/>
      <c r="Q4" s="84"/>
      <c r="R4" s="84"/>
      <c r="S4" s="84"/>
      <c r="T4" s="84"/>
      <c r="U4" s="84"/>
    </row>
    <row r="5" spans="1:21" ht="67.5" x14ac:dyDescent="0.25">
      <c r="A5" s="104" t="s">
        <v>84</v>
      </c>
      <c r="B5" s="40" t="s">
        <v>59</v>
      </c>
      <c r="C5" s="45" t="s">
        <v>93</v>
      </c>
      <c r="D5" s="38" t="s">
        <v>98</v>
      </c>
      <c r="E5" s="84"/>
      <c r="F5" s="84"/>
      <c r="G5" s="84"/>
      <c r="H5" s="84"/>
      <c r="I5" s="84"/>
      <c r="J5" s="84"/>
      <c r="K5" s="84"/>
      <c r="L5" s="84"/>
      <c r="M5" s="84"/>
      <c r="N5" s="84"/>
      <c r="O5" s="84"/>
      <c r="P5" s="84"/>
      <c r="Q5" s="84"/>
      <c r="R5" s="84"/>
      <c r="S5" s="84"/>
      <c r="T5" s="84"/>
      <c r="U5" s="84"/>
    </row>
    <row r="6" spans="1:21" ht="67.5" x14ac:dyDescent="0.25">
      <c r="A6" s="104" t="s">
        <v>81</v>
      </c>
      <c r="B6" s="41" t="s">
        <v>60</v>
      </c>
      <c r="C6" s="45" t="s">
        <v>94</v>
      </c>
      <c r="D6" s="38" t="s">
        <v>100</v>
      </c>
      <c r="E6" s="84"/>
      <c r="F6" s="84"/>
      <c r="G6" s="84"/>
      <c r="H6" s="84"/>
      <c r="I6" s="84"/>
      <c r="J6" s="84"/>
      <c r="K6" s="84"/>
      <c r="L6" s="84"/>
      <c r="M6" s="84"/>
      <c r="N6" s="84"/>
      <c r="O6" s="84"/>
      <c r="P6" s="84"/>
      <c r="Q6" s="84"/>
      <c r="R6" s="84"/>
      <c r="S6" s="84"/>
      <c r="T6" s="84"/>
      <c r="U6" s="84"/>
    </row>
    <row r="7" spans="1:21" ht="101.25" x14ac:dyDescent="0.25">
      <c r="A7" s="104" t="s">
        <v>7</v>
      </c>
      <c r="B7" s="42" t="s">
        <v>61</v>
      </c>
      <c r="C7" s="45" t="s">
        <v>95</v>
      </c>
      <c r="D7" s="38" t="s">
        <v>99</v>
      </c>
      <c r="E7" s="84"/>
      <c r="F7" s="84"/>
      <c r="G7" s="84"/>
      <c r="H7" s="84"/>
      <c r="I7" s="84"/>
      <c r="J7" s="84"/>
      <c r="K7" s="84"/>
      <c r="L7" s="84"/>
      <c r="M7" s="84"/>
      <c r="N7" s="84"/>
      <c r="O7" s="84"/>
      <c r="P7" s="84"/>
      <c r="Q7" s="84"/>
      <c r="R7" s="84"/>
      <c r="S7" s="84"/>
      <c r="T7" s="84"/>
      <c r="U7" s="84"/>
    </row>
    <row r="8" spans="1:21" ht="67.5" x14ac:dyDescent="0.25">
      <c r="A8" s="104" t="s">
        <v>85</v>
      </c>
      <c r="B8" s="43" t="s">
        <v>62</v>
      </c>
      <c r="C8" s="45" t="s">
        <v>96</v>
      </c>
      <c r="D8" s="38" t="s">
        <v>118</v>
      </c>
      <c r="E8" s="84"/>
      <c r="F8" s="84"/>
      <c r="G8" s="84"/>
      <c r="H8" s="84"/>
      <c r="I8" s="84"/>
      <c r="J8" s="84"/>
      <c r="K8" s="84"/>
      <c r="L8" s="84"/>
      <c r="M8" s="84"/>
      <c r="N8" s="84"/>
      <c r="O8" s="84"/>
      <c r="P8" s="84"/>
      <c r="Q8" s="84"/>
      <c r="R8" s="84"/>
      <c r="S8" s="84"/>
      <c r="T8" s="84"/>
      <c r="U8" s="84"/>
    </row>
    <row r="9" spans="1:21" ht="20.25" x14ac:dyDescent="0.25">
      <c r="A9" s="104"/>
      <c r="B9" s="104"/>
      <c r="C9" s="106"/>
      <c r="D9" s="106"/>
      <c r="E9" s="84"/>
      <c r="F9" s="84"/>
      <c r="G9" s="84"/>
      <c r="H9" s="84"/>
      <c r="I9" s="84"/>
      <c r="J9" s="84"/>
      <c r="K9" s="84"/>
      <c r="L9" s="84"/>
      <c r="M9" s="84"/>
      <c r="N9" s="84"/>
      <c r="O9" s="84"/>
      <c r="P9" s="84"/>
      <c r="Q9" s="84"/>
      <c r="R9" s="84"/>
      <c r="S9" s="84"/>
      <c r="T9" s="84"/>
      <c r="U9" s="84"/>
    </row>
    <row r="10" spans="1:21" ht="16.5" x14ac:dyDescent="0.25">
      <c r="A10" s="104"/>
      <c r="B10" s="107"/>
      <c r="C10" s="107"/>
      <c r="D10" s="107"/>
      <c r="E10" s="84"/>
      <c r="F10" s="84"/>
      <c r="G10" s="84"/>
      <c r="H10" s="84"/>
      <c r="I10" s="84"/>
      <c r="J10" s="84"/>
      <c r="K10" s="84"/>
      <c r="L10" s="84"/>
      <c r="M10" s="84"/>
      <c r="N10" s="84"/>
      <c r="O10" s="84"/>
      <c r="P10" s="84"/>
      <c r="Q10" s="84"/>
      <c r="R10" s="84"/>
      <c r="S10" s="84"/>
      <c r="T10" s="84"/>
      <c r="U10" s="84"/>
    </row>
    <row r="11" spans="1:21" x14ac:dyDescent="0.25">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25">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25">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25">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25">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25">
      <c r="A16" s="104"/>
      <c r="B16" s="104"/>
      <c r="C16" s="104"/>
      <c r="D16" s="104"/>
      <c r="E16" s="84"/>
      <c r="F16" s="84"/>
      <c r="G16" s="84"/>
      <c r="H16" s="84"/>
      <c r="I16" s="84"/>
      <c r="J16" s="84"/>
      <c r="K16" s="84"/>
      <c r="L16" s="84"/>
      <c r="M16" s="84"/>
      <c r="N16" s="84"/>
      <c r="O16" s="84"/>
    </row>
    <row r="17" spans="1:15" x14ac:dyDescent="0.25">
      <c r="A17" s="104"/>
      <c r="B17" s="104"/>
      <c r="C17" s="104"/>
      <c r="D17" s="104"/>
      <c r="E17" s="84"/>
      <c r="F17" s="84"/>
      <c r="G17" s="84"/>
      <c r="H17" s="84"/>
      <c r="I17" s="84"/>
      <c r="J17" s="84"/>
      <c r="K17" s="84"/>
      <c r="L17" s="84"/>
      <c r="M17" s="84"/>
      <c r="N17" s="84"/>
      <c r="O17" s="84"/>
    </row>
    <row r="18" spans="1:15" x14ac:dyDescent="0.25">
      <c r="A18" s="104"/>
      <c r="B18" s="108"/>
      <c r="C18" s="108"/>
      <c r="D18" s="108"/>
      <c r="E18" s="84"/>
      <c r="F18" s="84"/>
      <c r="G18" s="84"/>
      <c r="H18" s="84"/>
      <c r="I18" s="84"/>
      <c r="J18" s="84"/>
      <c r="K18" s="84"/>
      <c r="L18" s="84"/>
      <c r="M18" s="84"/>
      <c r="N18" s="84"/>
      <c r="O18" s="84"/>
    </row>
    <row r="19" spans="1:15" x14ac:dyDescent="0.25">
      <c r="A19" s="104"/>
      <c r="B19" s="108"/>
      <c r="C19" s="108"/>
      <c r="D19" s="108"/>
      <c r="E19" s="84"/>
      <c r="F19" s="84"/>
      <c r="G19" s="84"/>
      <c r="H19" s="84"/>
      <c r="I19" s="84"/>
      <c r="J19" s="84"/>
      <c r="K19" s="84"/>
      <c r="L19" s="84"/>
      <c r="M19" s="84"/>
      <c r="N19" s="84"/>
      <c r="O19" s="84"/>
    </row>
    <row r="20" spans="1:15" x14ac:dyDescent="0.25">
      <c r="A20" s="104"/>
      <c r="B20" s="108"/>
      <c r="C20" s="108"/>
      <c r="D20" s="108"/>
      <c r="E20" s="84"/>
      <c r="F20" s="84"/>
      <c r="G20" s="84"/>
      <c r="H20" s="84"/>
      <c r="I20" s="84"/>
      <c r="J20" s="84"/>
      <c r="K20" s="84"/>
      <c r="L20" s="84"/>
      <c r="M20" s="84"/>
      <c r="N20" s="84"/>
      <c r="O20" s="84"/>
    </row>
    <row r="21" spans="1:15" x14ac:dyDescent="0.25">
      <c r="A21" s="104"/>
      <c r="B21" s="108"/>
      <c r="C21" s="108"/>
      <c r="D21" s="108"/>
      <c r="E21" s="84"/>
      <c r="F21" s="84"/>
      <c r="G21" s="84"/>
      <c r="H21" s="84"/>
      <c r="I21" s="84"/>
      <c r="J21" s="84"/>
      <c r="K21" s="84"/>
      <c r="L21" s="84"/>
      <c r="M21" s="84"/>
      <c r="N21" s="84"/>
      <c r="O21" s="84"/>
    </row>
    <row r="22" spans="1:15" ht="20.25" x14ac:dyDescent="0.25">
      <c r="A22" s="104"/>
      <c r="B22" s="104"/>
      <c r="C22" s="106"/>
      <c r="D22" s="106"/>
      <c r="E22" s="84"/>
      <c r="F22" s="84"/>
      <c r="G22" s="84"/>
      <c r="H22" s="84"/>
      <c r="I22" s="84"/>
      <c r="J22" s="84"/>
      <c r="K22" s="84"/>
      <c r="L22" s="84"/>
      <c r="M22" s="84"/>
      <c r="N22" s="84"/>
      <c r="O22" s="84"/>
    </row>
    <row r="23" spans="1:15" ht="20.25" x14ac:dyDescent="0.25">
      <c r="A23" s="104"/>
      <c r="B23" s="104"/>
      <c r="C23" s="106"/>
      <c r="D23" s="106"/>
      <c r="E23" s="84"/>
      <c r="F23" s="84"/>
      <c r="G23" s="84"/>
      <c r="H23" s="84"/>
      <c r="I23" s="84"/>
      <c r="J23" s="84"/>
      <c r="K23" s="84"/>
      <c r="L23" s="84"/>
      <c r="M23" s="84"/>
      <c r="N23" s="84"/>
      <c r="O23" s="84"/>
    </row>
    <row r="24" spans="1:15" ht="20.25" x14ac:dyDescent="0.25">
      <c r="A24" s="104"/>
      <c r="B24" s="104"/>
      <c r="C24" s="106"/>
      <c r="D24" s="106"/>
      <c r="E24" s="84"/>
      <c r="F24" s="84"/>
      <c r="G24" s="84"/>
      <c r="H24" s="84"/>
      <c r="I24" s="84"/>
      <c r="J24" s="84"/>
      <c r="K24" s="84"/>
      <c r="L24" s="84"/>
      <c r="M24" s="84"/>
      <c r="N24" s="84"/>
      <c r="O24" s="84"/>
    </row>
    <row r="25" spans="1:15" ht="20.25" x14ac:dyDescent="0.25">
      <c r="A25" s="104"/>
      <c r="B25" s="104"/>
      <c r="C25" s="106"/>
      <c r="D25" s="106"/>
      <c r="E25" s="84"/>
      <c r="F25" s="84"/>
      <c r="G25" s="84"/>
      <c r="H25" s="84"/>
      <c r="I25" s="84"/>
      <c r="J25" s="84"/>
      <c r="K25" s="84"/>
      <c r="L25" s="84"/>
      <c r="M25" s="84"/>
      <c r="N25" s="84"/>
      <c r="O25" s="84"/>
    </row>
    <row r="26" spans="1:15" ht="20.25" x14ac:dyDescent="0.25">
      <c r="A26" s="104"/>
      <c r="B26" s="104"/>
      <c r="C26" s="106"/>
      <c r="D26" s="106"/>
      <c r="E26" s="84"/>
      <c r="F26" s="84"/>
      <c r="G26" s="84"/>
      <c r="H26" s="84"/>
      <c r="I26" s="84"/>
      <c r="J26" s="84"/>
      <c r="K26" s="84"/>
      <c r="L26" s="84"/>
      <c r="M26" s="84"/>
      <c r="N26" s="84"/>
      <c r="O26" s="84"/>
    </row>
    <row r="27" spans="1:15" ht="20.25" x14ac:dyDescent="0.25">
      <c r="A27" s="104"/>
      <c r="B27" s="104"/>
      <c r="C27" s="106"/>
      <c r="D27" s="106"/>
      <c r="E27" s="84"/>
      <c r="F27" s="84"/>
      <c r="G27" s="84"/>
      <c r="H27" s="84"/>
      <c r="I27" s="84"/>
      <c r="J27" s="84"/>
      <c r="K27" s="84"/>
      <c r="L27" s="84"/>
      <c r="M27" s="84"/>
      <c r="N27" s="84"/>
      <c r="O27" s="84"/>
    </row>
    <row r="28" spans="1:15" ht="20.25" x14ac:dyDescent="0.25">
      <c r="A28" s="104"/>
      <c r="B28" s="104"/>
      <c r="C28" s="106"/>
      <c r="D28" s="106"/>
      <c r="E28" s="84"/>
      <c r="F28" s="84"/>
      <c r="G28" s="84"/>
      <c r="H28" s="84"/>
      <c r="I28" s="84"/>
      <c r="J28" s="84"/>
      <c r="K28" s="84"/>
      <c r="L28" s="84"/>
      <c r="M28" s="84"/>
      <c r="N28" s="84"/>
      <c r="O28" s="84"/>
    </row>
    <row r="29" spans="1:15" ht="20.25" x14ac:dyDescent="0.25">
      <c r="A29" s="104"/>
      <c r="B29" s="104"/>
      <c r="C29" s="106"/>
      <c r="D29" s="106"/>
      <c r="E29" s="84"/>
      <c r="F29" s="84"/>
      <c r="G29" s="84"/>
      <c r="H29" s="84"/>
      <c r="I29" s="84"/>
      <c r="J29" s="84"/>
      <c r="K29" s="84"/>
      <c r="L29" s="84"/>
      <c r="M29" s="84"/>
      <c r="N29" s="84"/>
      <c r="O29" s="84"/>
    </row>
    <row r="30" spans="1:15" ht="20.25" x14ac:dyDescent="0.25">
      <c r="A30" s="104"/>
      <c r="B30" s="104"/>
      <c r="C30" s="106"/>
      <c r="D30" s="106"/>
      <c r="E30" s="84"/>
      <c r="F30" s="84"/>
      <c r="G30" s="84"/>
      <c r="H30" s="84"/>
      <c r="I30" s="84"/>
      <c r="J30" s="84"/>
      <c r="K30" s="84"/>
      <c r="L30" s="84"/>
      <c r="M30" s="84"/>
      <c r="N30" s="84"/>
      <c r="O30" s="84"/>
    </row>
    <row r="31" spans="1:15" ht="20.25" x14ac:dyDescent="0.25">
      <c r="A31" s="104"/>
      <c r="B31" s="104"/>
      <c r="C31" s="106"/>
      <c r="D31" s="106"/>
      <c r="E31" s="84"/>
      <c r="F31" s="84"/>
      <c r="G31" s="84"/>
      <c r="H31" s="84"/>
      <c r="I31" s="84"/>
      <c r="J31" s="84"/>
      <c r="K31" s="84"/>
      <c r="L31" s="84"/>
      <c r="M31" s="84"/>
      <c r="N31" s="84"/>
      <c r="O31" s="84"/>
    </row>
    <row r="32" spans="1:15" ht="20.25" x14ac:dyDescent="0.25">
      <c r="A32" s="104"/>
      <c r="B32" s="104"/>
      <c r="C32" s="106"/>
      <c r="D32" s="106"/>
      <c r="E32" s="84"/>
      <c r="F32" s="84"/>
      <c r="G32" s="84"/>
      <c r="H32" s="84"/>
      <c r="I32" s="84"/>
      <c r="J32" s="84"/>
      <c r="K32" s="84"/>
      <c r="L32" s="84"/>
      <c r="M32" s="84"/>
      <c r="N32" s="84"/>
      <c r="O32" s="84"/>
    </row>
    <row r="33" spans="1:15" ht="20.25" x14ac:dyDescent="0.25">
      <c r="A33" s="104"/>
      <c r="B33" s="104"/>
      <c r="C33" s="106"/>
      <c r="D33" s="106"/>
      <c r="E33" s="84"/>
      <c r="F33" s="84"/>
      <c r="G33" s="84"/>
      <c r="H33" s="84"/>
      <c r="I33" s="84"/>
      <c r="J33" s="84"/>
      <c r="K33" s="84"/>
      <c r="L33" s="84"/>
      <c r="M33" s="84"/>
      <c r="N33" s="84"/>
      <c r="O33" s="84"/>
    </row>
    <row r="34" spans="1:15" ht="20.25" x14ac:dyDescent="0.25">
      <c r="A34" s="104"/>
      <c r="B34" s="104"/>
      <c r="C34" s="106"/>
      <c r="D34" s="106"/>
      <c r="E34" s="84"/>
      <c r="F34" s="84"/>
      <c r="G34" s="84"/>
      <c r="H34" s="84"/>
      <c r="I34" s="84"/>
      <c r="J34" s="84"/>
      <c r="K34" s="84"/>
      <c r="L34" s="84"/>
      <c r="M34" s="84"/>
      <c r="N34" s="84"/>
      <c r="O34" s="84"/>
    </row>
    <row r="35" spans="1:15" ht="20.25" x14ac:dyDescent="0.25">
      <c r="A35" s="104"/>
      <c r="B35" s="104"/>
      <c r="C35" s="106"/>
      <c r="D35" s="106"/>
      <c r="E35" s="84"/>
      <c r="F35" s="84"/>
      <c r="G35" s="84"/>
      <c r="H35" s="84"/>
      <c r="I35" s="84"/>
      <c r="J35" s="84"/>
      <c r="K35" s="84"/>
      <c r="L35" s="84"/>
      <c r="M35" s="84"/>
      <c r="N35" s="84"/>
      <c r="O35" s="84"/>
    </row>
    <row r="36" spans="1:15" ht="20.25" x14ac:dyDescent="0.25">
      <c r="A36" s="104"/>
      <c r="B36" s="104"/>
      <c r="C36" s="106"/>
      <c r="D36" s="106"/>
      <c r="E36" s="84"/>
      <c r="F36" s="84"/>
      <c r="G36" s="84"/>
      <c r="H36" s="84"/>
      <c r="I36" s="84"/>
      <c r="J36" s="84"/>
      <c r="K36" s="84"/>
      <c r="L36" s="84"/>
      <c r="M36" s="84"/>
      <c r="N36" s="84"/>
      <c r="O36" s="84"/>
    </row>
    <row r="37" spans="1:15" ht="20.25" x14ac:dyDescent="0.25">
      <c r="A37" s="104"/>
      <c r="B37" s="104"/>
      <c r="C37" s="106"/>
      <c r="D37" s="106"/>
      <c r="E37" s="84"/>
      <c r="F37" s="84"/>
      <c r="G37" s="84"/>
      <c r="H37" s="84"/>
      <c r="I37" s="84"/>
      <c r="J37" s="84"/>
      <c r="K37" s="84"/>
      <c r="L37" s="84"/>
      <c r="M37" s="84"/>
      <c r="N37" s="84"/>
      <c r="O37" s="84"/>
    </row>
    <row r="38" spans="1:15" ht="20.25" x14ac:dyDescent="0.25">
      <c r="A38" s="104"/>
      <c r="B38" s="104"/>
      <c r="C38" s="106"/>
      <c r="D38" s="106"/>
      <c r="E38" s="84"/>
      <c r="F38" s="84"/>
      <c r="G38" s="84"/>
      <c r="H38" s="84"/>
      <c r="I38" s="84"/>
      <c r="J38" s="84"/>
      <c r="K38" s="84"/>
      <c r="L38" s="84"/>
      <c r="M38" s="84"/>
      <c r="N38" s="84"/>
      <c r="O38" s="84"/>
    </row>
    <row r="39" spans="1:15" ht="20.25" x14ac:dyDescent="0.25">
      <c r="A39" s="104"/>
      <c r="B39" s="104"/>
      <c r="C39" s="106"/>
      <c r="D39" s="106"/>
      <c r="E39" s="84"/>
      <c r="F39" s="84"/>
      <c r="G39" s="84"/>
      <c r="H39" s="84"/>
      <c r="I39" s="84"/>
      <c r="J39" s="84"/>
      <c r="K39" s="84"/>
      <c r="L39" s="84"/>
      <c r="M39" s="84"/>
      <c r="N39" s="84"/>
      <c r="O39" s="84"/>
    </row>
    <row r="40" spans="1:15" ht="20.25" x14ac:dyDescent="0.25">
      <c r="A40" s="104"/>
      <c r="B40" s="104"/>
      <c r="C40" s="106"/>
      <c r="D40" s="106"/>
      <c r="E40" s="84"/>
      <c r="F40" s="84"/>
      <c r="G40" s="84"/>
      <c r="H40" s="84"/>
      <c r="I40" s="84"/>
      <c r="J40" s="84"/>
      <c r="K40" s="84"/>
      <c r="L40" s="84"/>
      <c r="M40" s="84"/>
      <c r="N40" s="84"/>
      <c r="O40" s="84"/>
    </row>
    <row r="41" spans="1:15" ht="20.25" x14ac:dyDescent="0.25">
      <c r="A41" s="104"/>
      <c r="B41" s="104"/>
      <c r="C41" s="106"/>
      <c r="D41" s="106"/>
      <c r="E41" s="84"/>
      <c r="F41" s="84"/>
      <c r="G41" s="84"/>
      <c r="H41" s="84"/>
      <c r="I41" s="84"/>
      <c r="J41" s="84"/>
      <c r="K41" s="84"/>
      <c r="L41" s="84"/>
      <c r="M41" s="84"/>
      <c r="N41" s="84"/>
      <c r="O41" s="84"/>
    </row>
    <row r="42" spans="1:15" ht="20.25" x14ac:dyDescent="0.25">
      <c r="A42" s="104"/>
      <c r="B42" s="104"/>
      <c r="C42" s="106"/>
      <c r="D42" s="106"/>
      <c r="E42" s="84"/>
      <c r="F42" s="84"/>
      <c r="G42" s="84"/>
      <c r="H42" s="84"/>
      <c r="I42" s="84"/>
      <c r="J42" s="84"/>
      <c r="K42" s="84"/>
      <c r="L42" s="84"/>
      <c r="M42" s="84"/>
      <c r="N42" s="84"/>
      <c r="O42" s="84"/>
    </row>
    <row r="43" spans="1:15" ht="20.25" x14ac:dyDescent="0.25">
      <c r="A43" s="104"/>
      <c r="B43" s="104"/>
      <c r="C43" s="106"/>
      <c r="D43" s="106"/>
      <c r="E43" s="84"/>
      <c r="F43" s="84"/>
      <c r="G43" s="84"/>
      <c r="H43" s="84"/>
      <c r="I43" s="84"/>
      <c r="J43" s="84"/>
      <c r="K43" s="84"/>
      <c r="L43" s="84"/>
      <c r="M43" s="84"/>
      <c r="N43" s="84"/>
      <c r="O43" s="84"/>
    </row>
    <row r="44" spans="1:15" ht="20.25" x14ac:dyDescent="0.25">
      <c r="A44" s="104"/>
      <c r="B44" s="104"/>
      <c r="C44" s="106"/>
      <c r="D44" s="106"/>
      <c r="E44" s="84"/>
      <c r="F44" s="84"/>
      <c r="G44" s="84"/>
      <c r="H44" s="84"/>
      <c r="I44" s="84"/>
      <c r="J44" s="84"/>
      <c r="K44" s="84"/>
      <c r="L44" s="84"/>
      <c r="M44" s="84"/>
      <c r="N44" s="84"/>
      <c r="O44" s="84"/>
    </row>
    <row r="45" spans="1:15" ht="20.25" x14ac:dyDescent="0.25">
      <c r="A45" s="104"/>
      <c r="B45" s="104"/>
      <c r="C45" s="106"/>
      <c r="D45" s="106"/>
      <c r="E45" s="84"/>
      <c r="F45" s="84"/>
      <c r="G45" s="84"/>
      <c r="H45" s="84"/>
      <c r="I45" s="84"/>
      <c r="J45" s="84"/>
      <c r="K45" s="84"/>
      <c r="L45" s="84"/>
      <c r="M45" s="84"/>
      <c r="N45" s="84"/>
      <c r="O45" s="84"/>
    </row>
    <row r="46" spans="1:15" ht="20.25" x14ac:dyDescent="0.25">
      <c r="A46" s="104"/>
      <c r="B46" s="104"/>
      <c r="C46" s="106"/>
      <c r="D46" s="106"/>
      <c r="E46" s="84"/>
      <c r="F46" s="84"/>
      <c r="G46" s="84"/>
      <c r="H46" s="84"/>
      <c r="I46" s="84"/>
      <c r="J46" s="84"/>
      <c r="K46" s="84"/>
      <c r="L46" s="84"/>
      <c r="M46" s="84"/>
      <c r="N46" s="84"/>
      <c r="O46" s="84"/>
    </row>
    <row r="47" spans="1:15" ht="20.25" x14ac:dyDescent="0.25">
      <c r="A47" s="104"/>
      <c r="B47" s="104"/>
      <c r="C47" s="106"/>
      <c r="D47" s="106"/>
      <c r="E47" s="84"/>
      <c r="F47" s="84"/>
      <c r="G47" s="84"/>
      <c r="H47" s="84"/>
      <c r="I47" s="84"/>
      <c r="J47" s="84"/>
      <c r="K47" s="84"/>
      <c r="L47" s="84"/>
      <c r="M47" s="84"/>
      <c r="N47" s="84"/>
      <c r="O47" s="84"/>
    </row>
    <row r="48" spans="1:15" ht="20.25" x14ac:dyDescent="0.25">
      <c r="A48" s="104"/>
      <c r="B48" s="104"/>
      <c r="C48" s="106"/>
      <c r="D48" s="106"/>
      <c r="E48" s="84"/>
      <c r="F48" s="84"/>
      <c r="G48" s="84"/>
      <c r="H48" s="84"/>
      <c r="I48" s="84"/>
      <c r="J48" s="84"/>
      <c r="K48" s="84"/>
      <c r="L48" s="84"/>
      <c r="M48" s="84"/>
      <c r="N48" s="84"/>
      <c r="O48" s="84"/>
    </row>
    <row r="49" spans="1:15" ht="20.25" x14ac:dyDescent="0.25">
      <c r="A49" s="104"/>
      <c r="B49" s="104"/>
      <c r="C49" s="106"/>
      <c r="D49" s="106"/>
      <c r="E49" s="84"/>
      <c r="F49" s="84"/>
      <c r="G49" s="84"/>
      <c r="H49" s="84"/>
      <c r="I49" s="84"/>
      <c r="J49" s="84"/>
      <c r="K49" s="84"/>
      <c r="L49" s="84"/>
      <c r="M49" s="84"/>
      <c r="N49" s="84"/>
      <c r="O49" s="84"/>
    </row>
    <row r="50" spans="1:15" ht="20.25" x14ac:dyDescent="0.25">
      <c r="A50" s="104"/>
      <c r="B50" s="104"/>
      <c r="C50" s="106"/>
      <c r="D50" s="106"/>
      <c r="E50" s="84"/>
      <c r="F50" s="84"/>
      <c r="G50" s="84"/>
      <c r="H50" s="84"/>
      <c r="I50" s="84"/>
      <c r="J50" s="84"/>
      <c r="K50" s="84"/>
      <c r="L50" s="84"/>
      <c r="M50" s="84"/>
      <c r="N50" s="84"/>
      <c r="O50" s="84"/>
    </row>
    <row r="51" spans="1:15" ht="20.25" x14ac:dyDescent="0.25">
      <c r="A51" s="104"/>
      <c r="B51" s="104"/>
      <c r="C51" s="106"/>
      <c r="D51" s="106"/>
      <c r="E51" s="84"/>
      <c r="F51" s="84"/>
      <c r="G51" s="84"/>
      <c r="H51" s="84"/>
      <c r="I51" s="84"/>
      <c r="J51" s="84"/>
      <c r="K51" s="84"/>
      <c r="L51" s="84"/>
      <c r="M51" s="84"/>
      <c r="N51" s="84"/>
      <c r="O51" s="84"/>
    </row>
    <row r="52" spans="1:15" ht="20.25" x14ac:dyDescent="0.25">
      <c r="A52" s="104"/>
      <c r="B52" s="23"/>
      <c r="C52" s="34"/>
      <c r="D52" s="34"/>
    </row>
    <row r="53" spans="1:15" ht="20.25" x14ac:dyDescent="0.25">
      <c r="A53" s="104"/>
      <c r="B53" s="23"/>
      <c r="C53" s="34"/>
      <c r="D53" s="34"/>
    </row>
    <row r="54" spans="1:15" ht="20.25" x14ac:dyDescent="0.25">
      <c r="A54" s="104"/>
      <c r="B54" s="23"/>
      <c r="C54" s="34"/>
      <c r="D54" s="34"/>
    </row>
    <row r="55" spans="1:15" ht="20.25" x14ac:dyDescent="0.25">
      <c r="A55" s="104"/>
      <c r="B55" s="23"/>
      <c r="C55" s="34"/>
      <c r="D55" s="34"/>
    </row>
    <row r="56" spans="1:15" ht="20.25" x14ac:dyDescent="0.25">
      <c r="A56" s="104"/>
      <c r="B56" s="23"/>
      <c r="C56" s="34"/>
      <c r="D56" s="34"/>
    </row>
    <row r="57" spans="1:15" ht="20.25" x14ac:dyDescent="0.25">
      <c r="A57" s="104"/>
      <c r="B57" s="23"/>
      <c r="C57" s="34"/>
      <c r="D57" s="34"/>
    </row>
    <row r="58" spans="1:15" ht="20.25" x14ac:dyDescent="0.25">
      <c r="A58" s="104"/>
      <c r="B58" s="23"/>
      <c r="C58" s="34"/>
      <c r="D58" s="34"/>
    </row>
    <row r="59" spans="1:15" ht="20.25" x14ac:dyDescent="0.25">
      <c r="A59" s="104"/>
      <c r="B59" s="23"/>
      <c r="C59" s="34"/>
      <c r="D59" s="34"/>
    </row>
    <row r="60" spans="1:15" ht="20.25" x14ac:dyDescent="0.25">
      <c r="A60" s="104"/>
      <c r="B60" s="23"/>
      <c r="C60" s="34"/>
      <c r="D60" s="34"/>
    </row>
    <row r="61" spans="1:15" ht="20.25" x14ac:dyDescent="0.25">
      <c r="A61" s="104"/>
      <c r="B61" s="23"/>
      <c r="C61" s="34"/>
      <c r="D61" s="34"/>
    </row>
    <row r="62" spans="1:15" ht="20.25" x14ac:dyDescent="0.25">
      <c r="A62" s="104"/>
      <c r="B62" s="23"/>
      <c r="C62" s="34"/>
      <c r="D62" s="34"/>
    </row>
    <row r="63" spans="1:15" ht="20.25" x14ac:dyDescent="0.25">
      <c r="A63" s="104"/>
      <c r="B63" s="23"/>
      <c r="C63" s="34"/>
      <c r="D63" s="34"/>
    </row>
    <row r="64" spans="1:15" ht="20.25" x14ac:dyDescent="0.25">
      <c r="A64" s="104"/>
      <c r="B64" s="23"/>
      <c r="C64" s="34"/>
      <c r="D64" s="34"/>
    </row>
    <row r="65" spans="1:4" ht="20.25" x14ac:dyDescent="0.25">
      <c r="A65" s="104"/>
      <c r="B65" s="23"/>
      <c r="C65" s="34"/>
      <c r="D65" s="34"/>
    </row>
    <row r="66" spans="1:4" ht="20.25" x14ac:dyDescent="0.25">
      <c r="A66" s="104"/>
      <c r="B66" s="23"/>
      <c r="C66" s="34"/>
      <c r="D66" s="34"/>
    </row>
    <row r="67" spans="1:4" ht="20.25" x14ac:dyDescent="0.25">
      <c r="A67" s="104"/>
      <c r="B67" s="23"/>
      <c r="C67" s="34"/>
      <c r="D67" s="34"/>
    </row>
    <row r="68" spans="1:4" ht="20.25" x14ac:dyDescent="0.25">
      <c r="A68" s="104"/>
      <c r="B68" s="23"/>
      <c r="C68" s="34"/>
      <c r="D68" s="34"/>
    </row>
    <row r="69" spans="1:4" ht="20.25" x14ac:dyDescent="0.25">
      <c r="A69" s="104"/>
      <c r="B69" s="23"/>
      <c r="C69" s="34"/>
      <c r="D69" s="34"/>
    </row>
    <row r="70" spans="1:4" ht="20.25" x14ac:dyDescent="0.25">
      <c r="A70" s="104"/>
      <c r="B70" s="23"/>
      <c r="C70" s="34"/>
      <c r="D70" s="34"/>
    </row>
    <row r="71" spans="1:4" ht="20.25" x14ac:dyDescent="0.25">
      <c r="A71" s="104"/>
      <c r="B71" s="23"/>
      <c r="C71" s="34"/>
      <c r="D71" s="34"/>
    </row>
    <row r="72" spans="1:4" ht="20.25" x14ac:dyDescent="0.25">
      <c r="A72" s="104"/>
      <c r="B72" s="23"/>
      <c r="C72" s="34"/>
      <c r="D72" s="34"/>
    </row>
    <row r="73" spans="1:4" ht="20.25" x14ac:dyDescent="0.25">
      <c r="A73" s="104"/>
      <c r="B73" s="23"/>
      <c r="C73" s="34"/>
      <c r="D73" s="34"/>
    </row>
    <row r="74" spans="1:4" ht="20.25" x14ac:dyDescent="0.25">
      <c r="A74" s="104"/>
      <c r="B74" s="23"/>
      <c r="C74" s="34"/>
      <c r="D74" s="34"/>
    </row>
    <row r="75" spans="1:4" ht="20.25" x14ac:dyDescent="0.25">
      <c r="A75" s="104"/>
      <c r="B75" s="23"/>
      <c r="C75" s="34"/>
      <c r="D75" s="34"/>
    </row>
    <row r="76" spans="1:4" ht="20.25" x14ac:dyDescent="0.25">
      <c r="A76" s="104"/>
      <c r="B76" s="23"/>
      <c r="C76" s="34"/>
      <c r="D76" s="34"/>
    </row>
    <row r="77" spans="1:4" ht="20.25" x14ac:dyDescent="0.25">
      <c r="A77" s="104"/>
      <c r="B77" s="23"/>
      <c r="C77" s="34"/>
      <c r="D77" s="34"/>
    </row>
    <row r="78" spans="1:4" ht="20.25" x14ac:dyDescent="0.25">
      <c r="A78" s="104"/>
      <c r="B78" s="23"/>
      <c r="C78" s="34"/>
      <c r="D78" s="34"/>
    </row>
    <row r="79" spans="1:4" ht="20.25" x14ac:dyDescent="0.25">
      <c r="A79" s="104"/>
      <c r="B79" s="23"/>
      <c r="C79" s="34"/>
      <c r="D79" s="34"/>
    </row>
    <row r="80" spans="1:4" ht="20.25" x14ac:dyDescent="0.25">
      <c r="A80" s="104"/>
      <c r="B80" s="23"/>
      <c r="C80" s="34"/>
      <c r="D80" s="34"/>
    </row>
    <row r="81" spans="1:4" ht="20.25" x14ac:dyDescent="0.25">
      <c r="A81" s="104"/>
      <c r="B81" s="23"/>
      <c r="C81" s="34"/>
      <c r="D81" s="34"/>
    </row>
    <row r="82" spans="1:4" ht="20.25" x14ac:dyDescent="0.25">
      <c r="A82" s="104"/>
      <c r="B82" s="23"/>
      <c r="C82" s="34"/>
      <c r="D82" s="34"/>
    </row>
    <row r="83" spans="1:4" ht="20.25" x14ac:dyDescent="0.25">
      <c r="A83" s="104"/>
      <c r="B83" s="23"/>
      <c r="C83" s="34"/>
      <c r="D83" s="34"/>
    </row>
    <row r="84" spans="1:4" ht="20.25" x14ac:dyDescent="0.25">
      <c r="A84" s="104"/>
      <c r="B84" s="23"/>
      <c r="C84" s="34"/>
      <c r="D84" s="34"/>
    </row>
    <row r="85" spans="1:4" ht="20.25" x14ac:dyDescent="0.25">
      <c r="A85" s="104"/>
      <c r="B85" s="23"/>
      <c r="C85" s="34"/>
      <c r="D85" s="34"/>
    </row>
    <row r="86" spans="1:4" ht="20.25" x14ac:dyDescent="0.25">
      <c r="A86" s="104"/>
      <c r="B86" s="23"/>
      <c r="C86" s="34"/>
      <c r="D86" s="34"/>
    </row>
    <row r="87" spans="1:4" ht="20.25" x14ac:dyDescent="0.25">
      <c r="A87" s="104"/>
      <c r="B87" s="23"/>
      <c r="C87" s="34"/>
      <c r="D87" s="34"/>
    </row>
    <row r="88" spans="1:4" ht="20.25" x14ac:dyDescent="0.25">
      <c r="A88" s="104"/>
      <c r="B88" s="23"/>
      <c r="C88" s="34"/>
      <c r="D88" s="34"/>
    </row>
    <row r="89" spans="1:4" ht="20.25" x14ac:dyDescent="0.25">
      <c r="A89" s="104"/>
      <c r="B89" s="23"/>
      <c r="C89" s="34"/>
      <c r="D89" s="34"/>
    </row>
    <row r="90" spans="1:4" ht="20.25" x14ac:dyDescent="0.25">
      <c r="A90" s="104"/>
      <c r="B90" s="23"/>
      <c r="C90" s="34"/>
      <c r="D90" s="34"/>
    </row>
    <row r="91" spans="1:4" ht="20.25" x14ac:dyDescent="0.25">
      <c r="A91" s="104"/>
      <c r="B91" s="23"/>
      <c r="C91" s="34"/>
      <c r="D91" s="34"/>
    </row>
    <row r="92" spans="1:4" ht="20.25" x14ac:dyDescent="0.25">
      <c r="A92" s="104"/>
      <c r="B92" s="23"/>
      <c r="C92" s="34"/>
      <c r="D92" s="34"/>
    </row>
    <row r="93" spans="1:4" ht="20.25" x14ac:dyDescent="0.25">
      <c r="A93" s="104"/>
      <c r="B93" s="23"/>
      <c r="C93" s="34"/>
      <c r="D93" s="34"/>
    </row>
    <row r="94" spans="1:4" ht="20.25" x14ac:dyDescent="0.25">
      <c r="A94" s="104"/>
      <c r="B94" s="23"/>
      <c r="C94" s="34"/>
      <c r="D94" s="34"/>
    </row>
    <row r="95" spans="1:4" ht="20.25" x14ac:dyDescent="0.25">
      <c r="A95" s="104"/>
      <c r="B95" s="23"/>
      <c r="C95" s="34"/>
      <c r="D95" s="34"/>
    </row>
    <row r="96" spans="1:4" ht="20.25" x14ac:dyDescent="0.25">
      <c r="A96" s="104"/>
      <c r="B96" s="23"/>
      <c r="C96" s="34"/>
      <c r="D96" s="34"/>
    </row>
    <row r="97" spans="1:4" ht="20.25" x14ac:dyDescent="0.25">
      <c r="A97" s="104"/>
      <c r="B97" s="23"/>
      <c r="C97" s="34"/>
      <c r="D97" s="34"/>
    </row>
    <row r="98" spans="1:4" ht="20.25" x14ac:dyDescent="0.25">
      <c r="A98" s="104"/>
      <c r="B98" s="23"/>
      <c r="C98" s="34"/>
      <c r="D98" s="34"/>
    </row>
    <row r="99" spans="1:4" ht="20.25" x14ac:dyDescent="0.25">
      <c r="A99" s="104"/>
      <c r="B99" s="23"/>
      <c r="C99" s="34"/>
      <c r="D99" s="34"/>
    </row>
    <row r="100" spans="1:4" ht="20.25" x14ac:dyDescent="0.25">
      <c r="A100" s="104"/>
      <c r="B100" s="23"/>
      <c r="C100" s="34"/>
      <c r="D100" s="34"/>
    </row>
    <row r="101" spans="1:4" ht="20.25" x14ac:dyDescent="0.25">
      <c r="A101" s="104"/>
      <c r="B101" s="23"/>
      <c r="C101" s="34"/>
      <c r="D101" s="34"/>
    </row>
    <row r="102" spans="1:4" ht="20.25" x14ac:dyDescent="0.25">
      <c r="A102" s="104"/>
      <c r="B102" s="23"/>
      <c r="C102" s="34"/>
      <c r="D102" s="34"/>
    </row>
    <row r="103" spans="1:4" ht="20.25" x14ac:dyDescent="0.25">
      <c r="A103" s="104"/>
      <c r="B103" s="23"/>
      <c r="C103" s="34"/>
      <c r="D103" s="34"/>
    </row>
    <row r="104" spans="1:4" ht="20.25" x14ac:dyDescent="0.25">
      <c r="A104" s="104"/>
      <c r="B104" s="23"/>
      <c r="C104" s="34"/>
      <c r="D104" s="34"/>
    </row>
    <row r="105" spans="1:4" ht="20.25" x14ac:dyDescent="0.25">
      <c r="A105" s="104"/>
      <c r="B105" s="23"/>
      <c r="C105" s="34"/>
      <c r="D105" s="34"/>
    </row>
    <row r="106" spans="1:4" ht="20.25" x14ac:dyDescent="0.25">
      <c r="A106" s="104"/>
      <c r="B106" s="23"/>
      <c r="C106" s="34"/>
      <c r="D106" s="34"/>
    </row>
    <row r="107" spans="1:4" ht="20.25" x14ac:dyDescent="0.25">
      <c r="A107" s="104"/>
      <c r="B107" s="23"/>
      <c r="C107" s="34"/>
      <c r="D107" s="34"/>
    </row>
    <row r="108" spans="1:4" ht="20.25" x14ac:dyDescent="0.25">
      <c r="A108" s="104"/>
      <c r="B108" s="23"/>
      <c r="C108" s="34"/>
      <c r="D108" s="34"/>
    </row>
    <row r="109" spans="1:4" ht="20.25" x14ac:dyDescent="0.25">
      <c r="A109" s="104"/>
      <c r="B109" s="23"/>
      <c r="C109" s="34"/>
      <c r="D109" s="34"/>
    </row>
    <row r="110" spans="1:4" ht="20.25" x14ac:dyDescent="0.25">
      <c r="A110" s="104"/>
      <c r="B110" s="23"/>
      <c r="C110" s="34"/>
      <c r="D110" s="34"/>
    </row>
    <row r="111" spans="1:4" ht="20.25" x14ac:dyDescent="0.25">
      <c r="A111" s="104"/>
      <c r="B111" s="23"/>
      <c r="C111" s="34"/>
      <c r="D111" s="34"/>
    </row>
    <row r="112" spans="1:4" ht="20.25" x14ac:dyDescent="0.25">
      <c r="A112" s="104"/>
      <c r="B112" s="23"/>
      <c r="C112" s="34"/>
      <c r="D112" s="34"/>
    </row>
    <row r="113" spans="1:4" ht="20.25" x14ac:dyDescent="0.25">
      <c r="A113" s="104"/>
      <c r="B113" s="23"/>
      <c r="C113" s="34"/>
      <c r="D113" s="34"/>
    </row>
    <row r="114" spans="1:4" ht="20.25" x14ac:dyDescent="0.25">
      <c r="A114" s="104"/>
      <c r="B114" s="23"/>
      <c r="C114" s="34"/>
      <c r="D114" s="34"/>
    </row>
    <row r="115" spans="1:4" ht="20.25" x14ac:dyDescent="0.25">
      <c r="A115" s="104"/>
      <c r="B115" s="23"/>
      <c r="C115" s="34"/>
      <c r="D115" s="34"/>
    </row>
    <row r="116" spans="1:4" ht="20.25" x14ac:dyDescent="0.25">
      <c r="A116" s="104"/>
      <c r="B116" s="23"/>
      <c r="C116" s="34"/>
      <c r="D116" s="34"/>
    </row>
    <row r="117" spans="1:4" ht="20.25" x14ac:dyDescent="0.25">
      <c r="A117" s="104"/>
      <c r="B117" s="23"/>
      <c r="C117" s="34"/>
      <c r="D117" s="34"/>
    </row>
    <row r="118" spans="1:4" ht="20.25" x14ac:dyDescent="0.25">
      <c r="A118" s="104"/>
      <c r="B118" s="23"/>
      <c r="C118" s="34"/>
      <c r="D118" s="34"/>
    </row>
    <row r="119" spans="1:4" ht="20.25" x14ac:dyDescent="0.25">
      <c r="A119" s="104"/>
      <c r="B119" s="23"/>
      <c r="C119" s="34"/>
      <c r="D119" s="34"/>
    </row>
    <row r="120" spans="1:4" ht="20.25" x14ac:dyDescent="0.25">
      <c r="A120" s="104"/>
      <c r="B120" s="23"/>
      <c r="C120" s="34"/>
      <c r="D120" s="34"/>
    </row>
    <row r="121" spans="1:4" ht="20.25" x14ac:dyDescent="0.25">
      <c r="A121" s="104"/>
      <c r="B121" s="23"/>
      <c r="C121" s="34"/>
      <c r="D121" s="34"/>
    </row>
    <row r="122" spans="1:4" ht="20.25" x14ac:dyDescent="0.25">
      <c r="A122" s="104"/>
      <c r="B122" s="23"/>
      <c r="C122" s="34"/>
      <c r="D122" s="34"/>
    </row>
    <row r="123" spans="1:4" ht="20.25" x14ac:dyDescent="0.25">
      <c r="A123" s="104"/>
      <c r="B123" s="23"/>
      <c r="C123" s="34"/>
      <c r="D123" s="34"/>
    </row>
    <row r="124" spans="1:4" ht="20.25" x14ac:dyDescent="0.25">
      <c r="A124" s="104"/>
      <c r="B124" s="23"/>
      <c r="C124" s="34"/>
      <c r="D124" s="34"/>
    </row>
    <row r="125" spans="1:4" ht="20.25" x14ac:dyDescent="0.25">
      <c r="A125" s="104"/>
      <c r="B125" s="23"/>
      <c r="C125" s="34"/>
      <c r="D125" s="34"/>
    </row>
    <row r="126" spans="1:4" ht="20.25" x14ac:dyDescent="0.25">
      <c r="A126" s="104"/>
      <c r="B126" s="23"/>
      <c r="C126" s="34"/>
      <c r="D126" s="34"/>
    </row>
    <row r="127" spans="1:4" ht="20.25" x14ac:dyDescent="0.25">
      <c r="A127" s="104"/>
      <c r="B127" s="23"/>
      <c r="C127" s="34"/>
      <c r="D127" s="34"/>
    </row>
    <row r="128" spans="1:4" ht="20.25" x14ac:dyDescent="0.25">
      <c r="A128" s="104"/>
      <c r="B128" s="23"/>
      <c r="C128" s="34"/>
      <c r="D128" s="34"/>
    </row>
    <row r="129" spans="1:4" ht="20.25" x14ac:dyDescent="0.25">
      <c r="A129" s="104"/>
      <c r="B129" s="23"/>
      <c r="C129" s="34"/>
      <c r="D129" s="34"/>
    </row>
    <row r="130" spans="1:4" ht="20.25" x14ac:dyDescent="0.25">
      <c r="A130" s="104"/>
      <c r="B130" s="23"/>
      <c r="C130" s="34"/>
      <c r="D130" s="34"/>
    </row>
    <row r="131" spans="1:4" ht="20.25" x14ac:dyDescent="0.25">
      <c r="A131" s="104"/>
      <c r="B131" s="23"/>
      <c r="C131" s="34"/>
      <c r="D131" s="34"/>
    </row>
    <row r="132" spans="1:4" ht="20.25" x14ac:dyDescent="0.25">
      <c r="A132" s="104"/>
      <c r="B132" s="23"/>
      <c r="C132" s="34"/>
      <c r="D132" s="34"/>
    </row>
    <row r="133" spans="1:4" ht="20.25" x14ac:dyDescent="0.25">
      <c r="A133" s="104"/>
      <c r="B133" s="23"/>
      <c r="C133" s="34"/>
      <c r="D133" s="34"/>
    </row>
    <row r="134" spans="1:4" ht="20.25" x14ac:dyDescent="0.25">
      <c r="A134" s="104"/>
      <c r="B134" s="23"/>
      <c r="C134" s="34"/>
      <c r="D134" s="34"/>
    </row>
    <row r="135" spans="1:4" ht="20.25" x14ac:dyDescent="0.25">
      <c r="A135" s="104"/>
      <c r="B135" s="23"/>
      <c r="C135" s="34"/>
      <c r="D135" s="34"/>
    </row>
    <row r="136" spans="1:4" ht="20.25" x14ac:dyDescent="0.25">
      <c r="A136" s="104"/>
      <c r="B136" s="23"/>
      <c r="C136" s="34"/>
      <c r="D136" s="34"/>
    </row>
    <row r="137" spans="1:4" ht="20.25" x14ac:dyDescent="0.25">
      <c r="A137" s="104"/>
      <c r="B137" s="23"/>
      <c r="C137" s="34"/>
      <c r="D137" s="34"/>
    </row>
    <row r="138" spans="1:4" ht="20.25" x14ac:dyDescent="0.25">
      <c r="A138" s="104"/>
      <c r="B138" s="23"/>
      <c r="C138" s="34"/>
      <c r="D138" s="34"/>
    </row>
    <row r="139" spans="1:4" ht="20.25" x14ac:dyDescent="0.25">
      <c r="A139" s="104"/>
      <c r="B139" s="23"/>
      <c r="C139" s="34"/>
      <c r="D139" s="34"/>
    </row>
    <row r="140" spans="1:4" ht="20.25" x14ac:dyDescent="0.25">
      <c r="A140" s="104"/>
      <c r="B140" s="23"/>
      <c r="C140" s="34"/>
      <c r="D140" s="34"/>
    </row>
    <row r="141" spans="1:4" ht="20.25" x14ac:dyDescent="0.25">
      <c r="A141" s="104"/>
      <c r="B141" s="23"/>
      <c r="C141" s="34"/>
      <c r="D141" s="34"/>
    </row>
    <row r="142" spans="1:4" ht="20.25" x14ac:dyDescent="0.25">
      <c r="A142" s="104"/>
      <c r="B142" s="23"/>
      <c r="C142" s="34"/>
      <c r="D142" s="34"/>
    </row>
    <row r="143" spans="1:4" ht="20.25" x14ac:dyDescent="0.25">
      <c r="A143" s="104"/>
      <c r="B143" s="23"/>
      <c r="C143" s="34"/>
      <c r="D143" s="34"/>
    </row>
    <row r="144" spans="1:4" ht="20.25" x14ac:dyDescent="0.25">
      <c r="A144" s="104"/>
      <c r="B144" s="23"/>
      <c r="C144" s="34"/>
      <c r="D144" s="34"/>
    </row>
    <row r="145" spans="1:4" ht="20.25" x14ac:dyDescent="0.25">
      <c r="A145" s="104"/>
      <c r="B145" s="23"/>
      <c r="C145" s="34"/>
      <c r="D145" s="34"/>
    </row>
    <row r="146" spans="1:4" ht="20.25" x14ac:dyDescent="0.25">
      <c r="A146" s="104"/>
      <c r="B146" s="23"/>
      <c r="C146" s="34"/>
      <c r="D146" s="34"/>
    </row>
    <row r="147" spans="1:4" ht="20.25" x14ac:dyDescent="0.25">
      <c r="A147" s="104"/>
      <c r="B147" s="23"/>
      <c r="C147" s="34"/>
      <c r="D147" s="34"/>
    </row>
    <row r="148" spans="1:4" ht="20.25" x14ac:dyDescent="0.25">
      <c r="A148" s="104"/>
      <c r="B148" s="23"/>
      <c r="C148" s="34"/>
      <c r="D148" s="34"/>
    </row>
    <row r="149" spans="1:4" ht="20.25" x14ac:dyDescent="0.25">
      <c r="A149" s="104"/>
      <c r="B149" s="23"/>
      <c r="C149" s="34"/>
      <c r="D149" s="34"/>
    </row>
    <row r="150" spans="1:4" ht="20.25" x14ac:dyDescent="0.25">
      <c r="A150" s="104"/>
      <c r="B150" s="23"/>
      <c r="C150" s="34"/>
      <c r="D150" s="34"/>
    </row>
    <row r="151" spans="1:4" ht="20.25" x14ac:dyDescent="0.25">
      <c r="A151" s="104"/>
      <c r="B151" s="23"/>
      <c r="C151" s="34"/>
      <c r="D151" s="34"/>
    </row>
    <row r="152" spans="1:4" ht="20.25" x14ac:dyDescent="0.25">
      <c r="A152" s="104"/>
      <c r="B152" s="23"/>
      <c r="C152" s="34"/>
      <c r="D152" s="34"/>
    </row>
    <row r="153" spans="1:4" ht="20.25" x14ac:dyDescent="0.25">
      <c r="A153" s="104"/>
      <c r="B153" s="23"/>
      <c r="C153" s="34"/>
      <c r="D153" s="34"/>
    </row>
    <row r="154" spans="1:4" ht="20.25" x14ac:dyDescent="0.25">
      <c r="A154" s="104"/>
      <c r="B154" s="23"/>
      <c r="C154" s="34"/>
      <c r="D154" s="34"/>
    </row>
    <row r="155" spans="1:4" ht="20.25" x14ac:dyDescent="0.25">
      <c r="A155" s="104"/>
      <c r="B155" s="23"/>
      <c r="C155" s="34"/>
      <c r="D155" s="34"/>
    </row>
    <row r="156" spans="1:4" ht="20.25" x14ac:dyDescent="0.25">
      <c r="A156" s="104"/>
      <c r="B156" s="23"/>
      <c r="C156" s="34"/>
      <c r="D156" s="34"/>
    </row>
    <row r="157" spans="1:4" ht="20.25" x14ac:dyDescent="0.25">
      <c r="A157" s="104"/>
      <c r="B157" s="23"/>
      <c r="C157" s="34"/>
      <c r="D157" s="34"/>
    </row>
    <row r="158" spans="1:4" ht="20.25" x14ac:dyDescent="0.25">
      <c r="A158" s="104"/>
      <c r="B158" s="23"/>
      <c r="C158" s="34"/>
      <c r="D158" s="34"/>
    </row>
    <row r="159" spans="1:4" ht="20.25" x14ac:dyDescent="0.25">
      <c r="A159" s="104"/>
      <c r="B159" s="23"/>
      <c r="C159" s="34"/>
      <c r="D159" s="34"/>
    </row>
    <row r="160" spans="1:4" ht="20.25" x14ac:dyDescent="0.25">
      <c r="A160" s="104"/>
      <c r="B160" s="23"/>
      <c r="C160" s="34"/>
      <c r="D160" s="34"/>
    </row>
    <row r="161" spans="1:4" ht="20.25" x14ac:dyDescent="0.25">
      <c r="A161" s="104"/>
      <c r="B161" s="23"/>
      <c r="C161" s="34"/>
      <c r="D161" s="34"/>
    </row>
    <row r="162" spans="1:4" ht="20.25" x14ac:dyDescent="0.25">
      <c r="A162" s="104"/>
      <c r="B162" s="23"/>
      <c r="C162" s="34"/>
      <c r="D162" s="34"/>
    </row>
    <row r="163" spans="1:4" ht="20.25" x14ac:dyDescent="0.25">
      <c r="A163" s="104"/>
      <c r="B163" s="23"/>
      <c r="C163" s="34"/>
      <c r="D163" s="34"/>
    </row>
    <row r="164" spans="1:4" ht="20.25" x14ac:dyDescent="0.25">
      <c r="A164" s="104"/>
      <c r="B164" s="23"/>
      <c r="C164" s="34"/>
      <c r="D164" s="34"/>
    </row>
    <row r="165" spans="1:4" ht="20.25" x14ac:dyDescent="0.25">
      <c r="A165" s="104"/>
      <c r="B165" s="23"/>
      <c r="C165" s="34"/>
      <c r="D165" s="34"/>
    </row>
    <row r="166" spans="1:4" ht="20.25" x14ac:dyDescent="0.25">
      <c r="A166" s="104"/>
      <c r="B166" s="23"/>
      <c r="C166" s="34"/>
      <c r="D166" s="34"/>
    </row>
    <row r="167" spans="1:4" ht="20.25" x14ac:dyDescent="0.25">
      <c r="A167" s="104"/>
      <c r="B167" s="23"/>
      <c r="C167" s="34"/>
      <c r="D167" s="34"/>
    </row>
    <row r="168" spans="1:4" ht="20.25" x14ac:dyDescent="0.25">
      <c r="A168" s="104"/>
      <c r="B168" s="23"/>
      <c r="C168" s="34"/>
      <c r="D168" s="34"/>
    </row>
    <row r="169" spans="1:4" ht="20.25" x14ac:dyDescent="0.25">
      <c r="A169" s="104"/>
      <c r="B169" s="23"/>
      <c r="C169" s="34"/>
      <c r="D169" s="34"/>
    </row>
    <row r="170" spans="1:4" ht="20.25" x14ac:dyDescent="0.25">
      <c r="A170" s="104"/>
      <c r="B170" s="23"/>
      <c r="C170" s="34"/>
      <c r="D170" s="34"/>
    </row>
    <row r="171" spans="1:4" ht="20.25" x14ac:dyDescent="0.25">
      <c r="A171" s="104"/>
      <c r="B171" s="23"/>
      <c r="C171" s="34"/>
      <c r="D171" s="34"/>
    </row>
    <row r="172" spans="1:4" ht="20.25" x14ac:dyDescent="0.25">
      <c r="A172" s="104"/>
      <c r="B172" s="23"/>
      <c r="C172" s="34"/>
      <c r="D172" s="34"/>
    </row>
    <row r="173" spans="1:4" ht="20.25" x14ac:dyDescent="0.25">
      <c r="A173" s="104"/>
      <c r="B173" s="23"/>
      <c r="C173" s="34"/>
      <c r="D173" s="34"/>
    </row>
    <row r="174" spans="1:4" ht="20.25" x14ac:dyDescent="0.25">
      <c r="A174" s="104"/>
      <c r="B174" s="23"/>
      <c r="C174" s="34"/>
      <c r="D174" s="34"/>
    </row>
    <row r="175" spans="1:4" ht="20.25" x14ac:dyDescent="0.25">
      <c r="A175" s="104"/>
      <c r="B175" s="23"/>
      <c r="C175" s="34"/>
      <c r="D175" s="34"/>
    </row>
    <row r="176" spans="1:4" ht="20.25" x14ac:dyDescent="0.25">
      <c r="A176" s="104"/>
      <c r="B176" s="23"/>
      <c r="C176" s="34"/>
      <c r="D176" s="34"/>
    </row>
    <row r="177" spans="1:4" ht="20.25" x14ac:dyDescent="0.25">
      <c r="A177" s="104"/>
      <c r="B177" s="23"/>
      <c r="C177" s="34"/>
      <c r="D177" s="34"/>
    </row>
    <row r="178" spans="1:4" ht="20.25" x14ac:dyDescent="0.25">
      <c r="A178" s="104"/>
      <c r="B178" s="23"/>
      <c r="C178" s="34"/>
      <c r="D178" s="34"/>
    </row>
    <row r="179" spans="1:4" ht="20.25" x14ac:dyDescent="0.25">
      <c r="A179" s="104"/>
      <c r="B179" s="23"/>
      <c r="C179" s="34"/>
      <c r="D179" s="34"/>
    </row>
    <row r="180" spans="1:4" ht="20.25" x14ac:dyDescent="0.25">
      <c r="A180" s="104"/>
      <c r="B180" s="23"/>
      <c r="C180" s="34"/>
      <c r="D180" s="34"/>
    </row>
    <row r="181" spans="1:4" ht="20.25" x14ac:dyDescent="0.25">
      <c r="A181" s="104"/>
      <c r="B181" s="23"/>
      <c r="C181" s="34"/>
      <c r="D181" s="34"/>
    </row>
    <row r="182" spans="1:4" ht="20.25" x14ac:dyDescent="0.25">
      <c r="A182" s="104"/>
      <c r="B182" s="23"/>
      <c r="C182" s="34"/>
      <c r="D182" s="34"/>
    </row>
    <row r="183" spans="1:4" ht="20.25" x14ac:dyDescent="0.25">
      <c r="A183" s="104"/>
      <c r="B183" s="23"/>
      <c r="C183" s="34"/>
      <c r="D183" s="34"/>
    </row>
    <row r="184" spans="1:4" ht="20.25" x14ac:dyDescent="0.25">
      <c r="A184" s="104"/>
      <c r="B184" s="23"/>
      <c r="C184" s="34"/>
      <c r="D184" s="34"/>
    </row>
    <row r="185" spans="1:4" ht="20.25" x14ac:dyDescent="0.25">
      <c r="A185" s="104"/>
      <c r="B185" s="23"/>
      <c r="C185" s="34"/>
      <c r="D185" s="34"/>
    </row>
    <row r="186" spans="1:4" ht="20.25" x14ac:dyDescent="0.25">
      <c r="A186" s="104"/>
      <c r="B186" s="23"/>
      <c r="C186" s="34"/>
      <c r="D186" s="34"/>
    </row>
    <row r="187" spans="1:4" ht="20.25" x14ac:dyDescent="0.25">
      <c r="A187" s="104"/>
      <c r="B187" s="23"/>
      <c r="C187" s="34"/>
      <c r="D187" s="34"/>
    </row>
    <row r="188" spans="1:4" ht="20.25" x14ac:dyDescent="0.25">
      <c r="A188" s="104"/>
      <c r="B188" s="23"/>
      <c r="C188" s="34"/>
      <c r="D188" s="34"/>
    </row>
    <row r="189" spans="1:4" ht="20.25" x14ac:dyDescent="0.25">
      <c r="A189" s="104"/>
      <c r="B189" s="23"/>
      <c r="C189" s="34"/>
      <c r="D189" s="34"/>
    </row>
    <row r="190" spans="1:4" ht="20.25" x14ac:dyDescent="0.25">
      <c r="A190" s="104"/>
      <c r="B190" s="23"/>
      <c r="C190" s="34"/>
      <c r="D190" s="34"/>
    </row>
    <row r="191" spans="1:4" ht="20.25" x14ac:dyDescent="0.25">
      <c r="A191" s="104"/>
      <c r="B191" s="23"/>
      <c r="C191" s="34"/>
      <c r="D191" s="34"/>
    </row>
    <row r="192" spans="1:4" ht="20.25" x14ac:dyDescent="0.25">
      <c r="A192" s="104"/>
      <c r="B192" s="23"/>
      <c r="C192" s="34"/>
      <c r="D192" s="34"/>
    </row>
    <row r="193" spans="1:4" ht="20.25" x14ac:dyDescent="0.25">
      <c r="A193" s="104"/>
      <c r="B193" s="23"/>
      <c r="C193" s="34"/>
      <c r="D193" s="34"/>
    </row>
    <row r="194" spans="1:4" ht="20.25" x14ac:dyDescent="0.25">
      <c r="A194" s="104"/>
      <c r="B194" s="23"/>
      <c r="C194" s="34"/>
      <c r="D194" s="34"/>
    </row>
    <row r="195" spans="1:4" ht="20.25" x14ac:dyDescent="0.25">
      <c r="A195" s="104"/>
      <c r="B195" s="23"/>
      <c r="C195" s="34"/>
      <c r="D195" s="34"/>
    </row>
    <row r="196" spans="1:4" ht="20.25" x14ac:dyDescent="0.25">
      <c r="A196" s="104"/>
      <c r="B196" s="23"/>
      <c r="C196" s="34"/>
      <c r="D196" s="34"/>
    </row>
    <row r="197" spans="1:4" ht="20.25" x14ac:dyDescent="0.25">
      <c r="A197" s="104"/>
      <c r="B197" s="23"/>
      <c r="C197" s="34"/>
      <c r="D197" s="34"/>
    </row>
    <row r="198" spans="1:4" ht="20.25" x14ac:dyDescent="0.25">
      <c r="A198" s="104"/>
      <c r="B198" s="23"/>
      <c r="C198" s="34"/>
      <c r="D198" s="34"/>
    </row>
    <row r="199" spans="1:4" ht="20.25" x14ac:dyDescent="0.25">
      <c r="A199" s="104"/>
      <c r="B199" s="23"/>
      <c r="C199" s="34"/>
      <c r="D199" s="34"/>
    </row>
    <row r="200" spans="1:4" ht="20.25" x14ac:dyDescent="0.25">
      <c r="A200" s="104"/>
      <c r="B200" s="23"/>
      <c r="C200" s="34"/>
      <c r="D200" s="34"/>
    </row>
    <row r="201" spans="1:4" ht="20.25" x14ac:dyDescent="0.25">
      <c r="A201" s="104"/>
      <c r="B201" s="23"/>
      <c r="C201" s="34"/>
      <c r="D201" s="34"/>
    </row>
    <row r="202" spans="1:4" ht="20.25" x14ac:dyDescent="0.25">
      <c r="A202" s="104"/>
      <c r="B202" s="23"/>
      <c r="C202" s="34"/>
      <c r="D202" s="34"/>
    </row>
    <row r="203" spans="1:4" ht="20.25" x14ac:dyDescent="0.25">
      <c r="A203" s="104"/>
      <c r="B203" s="23"/>
      <c r="C203" s="34"/>
      <c r="D203" s="34"/>
    </row>
    <row r="204" spans="1:4" ht="20.25" x14ac:dyDescent="0.25">
      <c r="A204" s="104"/>
      <c r="B204" s="23"/>
      <c r="C204" s="34"/>
      <c r="D204" s="34"/>
    </row>
    <row r="205" spans="1:4" ht="20.25" x14ac:dyDescent="0.25">
      <c r="A205" s="104"/>
      <c r="B205" s="23"/>
      <c r="C205" s="34"/>
      <c r="D205" s="34"/>
    </row>
    <row r="206" spans="1:4" ht="20.25" x14ac:dyDescent="0.25">
      <c r="A206" s="104"/>
      <c r="B206" s="23"/>
      <c r="C206" s="34"/>
      <c r="D206" s="34"/>
    </row>
    <row r="207" spans="1:4" ht="20.25" x14ac:dyDescent="0.25">
      <c r="A207" s="104"/>
      <c r="B207" s="23"/>
      <c r="C207" s="34"/>
      <c r="D207" s="34"/>
    </row>
    <row r="208" spans="1:4" x14ac:dyDescent="0.25">
      <c r="A208" s="84"/>
      <c r="B208" s="23"/>
      <c r="C208" s="23"/>
      <c r="D208" s="23"/>
    </row>
    <row r="209" spans="1:8" ht="20.25" x14ac:dyDescent="0.25">
      <c r="A209" s="84"/>
      <c r="B209" s="30" t="s">
        <v>88</v>
      </c>
      <c r="C209" s="30" t="s">
        <v>145</v>
      </c>
      <c r="D209" s="33" t="s">
        <v>88</v>
      </c>
      <c r="E209" s="33" t="s">
        <v>145</v>
      </c>
    </row>
    <row r="210" spans="1:8" ht="21" x14ac:dyDescent="0.35">
      <c r="A210" s="84"/>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4"/>
      <c r="B211" s="31" t="s">
        <v>90</v>
      </c>
      <c r="C211" s="31" t="s">
        <v>93</v>
      </c>
      <c r="E211" t="s">
        <v>58</v>
      </c>
      <c r="F211" t="str">
        <f t="shared" ref="F211:F221" si="0">IF(NOT(ISBLANK(D211)),D211,IF(NOT(ISBLANK(E211)),"     "&amp;E211,FALSE))</f>
        <v xml:space="preserve">     Afectación menor a 10 SMLMV .</v>
      </c>
    </row>
    <row r="212" spans="1:8" ht="21" x14ac:dyDescent="0.35">
      <c r="A212" s="84"/>
      <c r="B212" s="31" t="s">
        <v>90</v>
      </c>
      <c r="C212" s="31" t="s">
        <v>94</v>
      </c>
      <c r="E212" t="s">
        <v>93</v>
      </c>
      <c r="F212" t="str">
        <f t="shared" si="0"/>
        <v xml:space="preserve">     Entre 10 y 50 SMLMV </v>
      </c>
    </row>
    <row r="213" spans="1:8" ht="21" x14ac:dyDescent="0.35">
      <c r="A213" s="84"/>
      <c r="B213" s="31" t="s">
        <v>90</v>
      </c>
      <c r="C213" s="31" t="s">
        <v>95</v>
      </c>
      <c r="E213" t="s">
        <v>94</v>
      </c>
      <c r="F213" t="str">
        <f t="shared" si="0"/>
        <v xml:space="preserve">     Entre 50 y 100 SMLMV </v>
      </c>
    </row>
    <row r="214" spans="1:8" ht="21" x14ac:dyDescent="0.35">
      <c r="A214" s="84"/>
      <c r="B214" s="31" t="s">
        <v>90</v>
      </c>
      <c r="C214" s="31" t="s">
        <v>96</v>
      </c>
      <c r="E214" t="s">
        <v>95</v>
      </c>
      <c r="F214" t="str">
        <f t="shared" si="0"/>
        <v xml:space="preserve">     Entre 100 y 500 SMLMV </v>
      </c>
    </row>
    <row r="215" spans="1:8" ht="21" x14ac:dyDescent="0.35">
      <c r="A215" s="84"/>
      <c r="B215" s="31" t="s">
        <v>57</v>
      </c>
      <c r="C215" s="31" t="s">
        <v>97</v>
      </c>
      <c r="E215" t="s">
        <v>96</v>
      </c>
      <c r="F215" t="str">
        <f t="shared" si="0"/>
        <v xml:space="preserve">     Mayor a 500 SMLMV </v>
      </c>
    </row>
    <row r="216" spans="1:8" ht="21" x14ac:dyDescent="0.35">
      <c r="A216" s="84"/>
      <c r="B216" s="31" t="s">
        <v>57</v>
      </c>
      <c r="C216" s="31" t="s">
        <v>98</v>
      </c>
      <c r="D216" t="s">
        <v>57</v>
      </c>
      <c r="F216" t="str">
        <f t="shared" si="0"/>
        <v>Pérdida Reputacional</v>
      </c>
    </row>
    <row r="217" spans="1:8" ht="21" x14ac:dyDescent="0.35">
      <c r="A217" s="84"/>
      <c r="B217" s="31" t="s">
        <v>57</v>
      </c>
      <c r="C217" s="31" t="s">
        <v>100</v>
      </c>
      <c r="E217" t="s">
        <v>97</v>
      </c>
      <c r="F217" t="str">
        <f t="shared" si="0"/>
        <v xml:space="preserve">     El riesgo afecta la imagen de alguna área de la organización</v>
      </c>
    </row>
    <row r="218" spans="1:8" ht="21" x14ac:dyDescent="0.35">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4"/>
      <c r="B219" s="31" t="s">
        <v>57</v>
      </c>
      <c r="C219" s="31" t="s">
        <v>118</v>
      </c>
      <c r="E219" t="s">
        <v>100</v>
      </c>
      <c r="F219" t="str">
        <f t="shared" si="0"/>
        <v xml:space="preserve">     El riesgo afecta la imagen de la entidad con algunos usuarios de relevancia frente al logro de los objetivos</v>
      </c>
    </row>
    <row r="220" spans="1:8" x14ac:dyDescent="0.25">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4"/>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4"/>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heetViews>
  <sheetFormatPr baseColWidth="10" defaultColWidth="14.28515625" defaultRowHeight="12.75" x14ac:dyDescent="0.2"/>
  <cols>
    <col min="1" max="2" width="14.28515625" style="89"/>
    <col min="3" max="3" width="17" style="89" customWidth="1"/>
    <col min="4" max="4" width="14.28515625" style="89"/>
    <col min="5" max="5" width="46" style="89" customWidth="1"/>
    <col min="6" max="16384" width="14.28515625" style="89"/>
  </cols>
  <sheetData>
    <row r="1" spans="2:6" ht="24" customHeight="1" thickBot="1" x14ac:dyDescent="0.25">
      <c r="B1" s="391" t="s">
        <v>78</v>
      </c>
      <c r="C1" s="392"/>
      <c r="D1" s="392"/>
      <c r="E1" s="392"/>
      <c r="F1" s="393"/>
    </row>
    <row r="2" spans="2:6" ht="16.5" thickBot="1" x14ac:dyDescent="0.3">
      <c r="B2" s="90"/>
      <c r="C2" s="90"/>
      <c r="D2" s="90"/>
      <c r="E2" s="90"/>
      <c r="F2" s="90"/>
    </row>
    <row r="3" spans="2:6" ht="16.5" thickBot="1" x14ac:dyDescent="0.25">
      <c r="B3" s="395" t="s">
        <v>64</v>
      </c>
      <c r="C3" s="396"/>
      <c r="D3" s="396"/>
      <c r="E3" s="102" t="s">
        <v>65</v>
      </c>
      <c r="F3" s="103" t="s">
        <v>66</v>
      </c>
    </row>
    <row r="4" spans="2:6" ht="31.5" x14ac:dyDescent="0.2">
      <c r="B4" s="397" t="s">
        <v>67</v>
      </c>
      <c r="C4" s="399" t="s">
        <v>13</v>
      </c>
      <c r="D4" s="91" t="s">
        <v>14</v>
      </c>
      <c r="E4" s="92" t="s">
        <v>68</v>
      </c>
      <c r="F4" s="93">
        <v>0.25</v>
      </c>
    </row>
    <row r="5" spans="2:6" ht="47.25" x14ac:dyDescent="0.2">
      <c r="B5" s="398"/>
      <c r="C5" s="400"/>
      <c r="D5" s="94" t="s">
        <v>15</v>
      </c>
      <c r="E5" s="95" t="s">
        <v>69</v>
      </c>
      <c r="F5" s="96">
        <v>0.15</v>
      </c>
    </row>
    <row r="6" spans="2:6" ht="47.25" x14ac:dyDescent="0.2">
      <c r="B6" s="398"/>
      <c r="C6" s="400"/>
      <c r="D6" s="94" t="s">
        <v>16</v>
      </c>
      <c r="E6" s="95" t="s">
        <v>70</v>
      </c>
      <c r="F6" s="96">
        <v>0.1</v>
      </c>
    </row>
    <row r="7" spans="2:6" ht="63" x14ac:dyDescent="0.2">
      <c r="B7" s="398"/>
      <c r="C7" s="400" t="s">
        <v>17</v>
      </c>
      <c r="D7" s="94" t="s">
        <v>10</v>
      </c>
      <c r="E7" s="95" t="s">
        <v>71</v>
      </c>
      <c r="F7" s="96">
        <v>0.25</v>
      </c>
    </row>
    <row r="8" spans="2:6" ht="31.5" x14ac:dyDescent="0.2">
      <c r="B8" s="398"/>
      <c r="C8" s="400"/>
      <c r="D8" s="94" t="s">
        <v>9</v>
      </c>
      <c r="E8" s="95" t="s">
        <v>72</v>
      </c>
      <c r="F8" s="96">
        <v>0.15</v>
      </c>
    </row>
    <row r="9" spans="2:6" ht="47.25" x14ac:dyDescent="0.2">
      <c r="B9" s="398" t="s">
        <v>162</v>
      </c>
      <c r="C9" s="400" t="s">
        <v>18</v>
      </c>
      <c r="D9" s="94" t="s">
        <v>19</v>
      </c>
      <c r="E9" s="95" t="s">
        <v>73</v>
      </c>
      <c r="F9" s="97" t="s">
        <v>74</v>
      </c>
    </row>
    <row r="10" spans="2:6" ht="63" x14ac:dyDescent="0.2">
      <c r="B10" s="398"/>
      <c r="C10" s="400"/>
      <c r="D10" s="94" t="s">
        <v>20</v>
      </c>
      <c r="E10" s="95" t="s">
        <v>75</v>
      </c>
      <c r="F10" s="97" t="s">
        <v>74</v>
      </c>
    </row>
    <row r="11" spans="2:6" ht="47.25" x14ac:dyDescent="0.2">
      <c r="B11" s="398"/>
      <c r="C11" s="400" t="s">
        <v>21</v>
      </c>
      <c r="D11" s="94" t="s">
        <v>22</v>
      </c>
      <c r="E11" s="95" t="s">
        <v>76</v>
      </c>
      <c r="F11" s="97" t="s">
        <v>74</v>
      </c>
    </row>
    <row r="12" spans="2:6" ht="47.25" x14ac:dyDescent="0.2">
      <c r="B12" s="398"/>
      <c r="C12" s="400"/>
      <c r="D12" s="94" t="s">
        <v>23</v>
      </c>
      <c r="E12" s="95" t="s">
        <v>77</v>
      </c>
      <c r="F12" s="97" t="s">
        <v>74</v>
      </c>
    </row>
    <row r="13" spans="2:6" ht="31.5" x14ac:dyDescent="0.2">
      <c r="B13" s="398"/>
      <c r="C13" s="400" t="s">
        <v>24</v>
      </c>
      <c r="D13" s="94" t="s">
        <v>119</v>
      </c>
      <c r="E13" s="95" t="s">
        <v>122</v>
      </c>
      <c r="F13" s="97" t="s">
        <v>74</v>
      </c>
    </row>
    <row r="14" spans="2:6" ht="32.25" thickBot="1" x14ac:dyDescent="0.25">
      <c r="B14" s="401"/>
      <c r="C14" s="402"/>
      <c r="D14" s="98" t="s">
        <v>120</v>
      </c>
      <c r="E14" s="99" t="s">
        <v>121</v>
      </c>
      <c r="F14" s="100" t="s">
        <v>74</v>
      </c>
    </row>
    <row r="15" spans="2:6" ht="49.5" customHeight="1" x14ac:dyDescent="0.2">
      <c r="B15" s="394" t="s">
        <v>159</v>
      </c>
      <c r="C15" s="394"/>
      <c r="D15" s="394"/>
      <c r="E15" s="394"/>
      <c r="F15" s="394"/>
    </row>
    <row r="16" spans="2:6" ht="27" customHeight="1" x14ac:dyDescent="0.2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PORT CI3 4GB</cp:lastModifiedBy>
  <cp:lastPrinted>2020-05-13T01:12:22Z</cp:lastPrinted>
  <dcterms:created xsi:type="dcterms:W3CDTF">2020-03-24T23:12:47Z</dcterms:created>
  <dcterms:modified xsi:type="dcterms:W3CDTF">2023-02-23T21:23:55Z</dcterms:modified>
</cp:coreProperties>
</file>