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defaultThemeVersion="124226"/>
  <mc:AlternateContent xmlns:mc="http://schemas.openxmlformats.org/markup-compatibility/2006">
    <mc:Choice Requires="x15">
      <x15ac:absPath xmlns:x15ac="http://schemas.microsoft.com/office/spreadsheetml/2010/11/ac" url="C:\Users\Liliana Lamprea A\Documents\01 Proyectos\06 EDAT\03 Documentos\05 Evidencias\06 PACC\2023\"/>
    </mc:Choice>
  </mc:AlternateContent>
  <bookViews>
    <workbookView xWindow="0" yWindow="0" windowWidth="16457" windowHeight="5254" tabRatio="882" activeTab="1"/>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62913"/>
  <pivotCaches>
    <pivotCache cacheId="0" r:id="rId10"/>
  </pivotCaches>
</workbook>
</file>

<file path=xl/calcChain.xml><?xml version="1.0" encoding="utf-8"?>
<calcChain xmlns="http://schemas.openxmlformats.org/spreadsheetml/2006/main">
  <c r="AJ25" i="1" l="1"/>
  <c r="Q10" i="1" l="1"/>
  <c r="T10" i="1"/>
  <c r="H10" i="1"/>
  <c r="I10" i="1" s="1"/>
  <c r="K23" i="1"/>
  <c r="K22" i="1"/>
  <c r="K13" i="1"/>
  <c r="K16" i="1"/>
  <c r="K12" i="1"/>
  <c r="K19" i="1"/>
  <c r="K14" i="1"/>
  <c r="F221" i="13" l="1"/>
  <c r="F211" i="13"/>
  <c r="F212" i="13"/>
  <c r="F213" i="13"/>
  <c r="F214" i="13"/>
  <c r="F215" i="13"/>
  <c r="F216" i="13"/>
  <c r="F217" i="13"/>
  <c r="F218" i="13"/>
  <c r="F219" i="13"/>
  <c r="F220" i="13"/>
  <c r="F210" i="13"/>
  <c r="B221" i="13" a="1"/>
  <c r="B221" i="13" l="1"/>
  <c r="Q24" i="1"/>
  <c r="Q22"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24" i="1" l="1"/>
  <c r="H24" i="1"/>
  <c r="I24" i="1" s="1"/>
  <c r="T23" i="1"/>
  <c r="Q23" i="1"/>
  <c r="T22" i="1"/>
  <c r="T21" i="1"/>
  <c r="Q21" i="1"/>
  <c r="H21" i="1"/>
  <c r="I21" i="1" s="1"/>
  <c r="T20" i="1"/>
  <c r="Q20" i="1"/>
  <c r="H20" i="1"/>
  <c r="I20" i="1" s="1"/>
  <c r="T19" i="1"/>
  <c r="Q19" i="1"/>
  <c r="T18" i="1"/>
  <c r="Q18" i="1"/>
  <c r="H18" i="1"/>
  <c r="I18" i="1" s="1"/>
  <c r="T17" i="1"/>
  <c r="Q17" i="1"/>
  <c r="H17" i="1"/>
  <c r="I17" i="1" s="1"/>
  <c r="T16" i="1"/>
  <c r="Q16" i="1"/>
  <c r="T15" i="1"/>
  <c r="Q15" i="1"/>
  <c r="H15" i="1"/>
  <c r="I15" i="1" s="1"/>
  <c r="H11" i="1"/>
  <c r="T14" i="1"/>
  <c r="Q14" i="1"/>
  <c r="T13" i="1"/>
  <c r="Q13" i="1"/>
  <c r="T12" i="1"/>
  <c r="Q12" i="1"/>
  <c r="T11" i="1"/>
  <c r="Q11" i="1"/>
  <c r="I11" i="1" l="1"/>
  <c r="X11" i="1" s="1"/>
  <c r="X24" i="1"/>
  <c r="X21" i="1"/>
  <c r="X20" i="1"/>
  <c r="X18" i="1"/>
  <c r="X17" i="1"/>
  <c r="X15" i="1"/>
  <c r="Y24" i="1" l="1"/>
  <c r="Z24" i="1"/>
  <c r="Y21" i="1"/>
  <c r="Z21" i="1"/>
  <c r="Y20" i="1"/>
  <c r="Z20" i="1"/>
  <c r="Y18" i="1"/>
  <c r="Z18" i="1"/>
  <c r="Y17" i="1"/>
  <c r="Z17" i="1"/>
  <c r="Y15" i="1"/>
  <c r="Z15" i="1"/>
  <c r="X16" i="1" s="1"/>
  <c r="Y16" i="1" s="1"/>
  <c r="Y11" i="1"/>
  <c r="Z11" i="1"/>
  <c r="X12" i="1" s="1"/>
  <c r="Z16" i="1" l="1"/>
  <c r="X19" i="1"/>
  <c r="X2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Y22" i="1" l="1"/>
  <c r="Z22" i="1"/>
  <c r="X23" i="1" s="1"/>
  <c r="Y23" i="1" s="1"/>
  <c r="Y19" i="1"/>
  <c r="Z19" i="1"/>
  <c r="Y12" i="1"/>
  <c r="Z12" i="1"/>
  <c r="X13" i="1" s="1"/>
  <c r="Y13" i="1" s="1"/>
  <c r="Z23" i="1" l="1"/>
  <c r="Z13" i="1"/>
  <c r="X14" i="1" s="1"/>
  <c r="Y14" i="1" s="1"/>
  <c r="Z14" i="1" l="1"/>
  <c r="X10" i="1"/>
  <c r="Y10" i="1" s="1"/>
  <c r="Z10" i="1" l="1"/>
  <c r="K35" i="19" l="1"/>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3" i="13"/>
  <c r="B222" i="13"/>
  <c r="K20" i="1" l="1"/>
  <c r="L20" i="1" s="1"/>
  <c r="K10" i="1"/>
  <c r="L10" i="1" s="1"/>
  <c r="K17" i="1"/>
  <c r="L17" i="1" s="1"/>
  <c r="K15" i="1"/>
  <c r="L15" i="1" s="1"/>
  <c r="K24" i="1"/>
  <c r="L24" i="1" s="1"/>
  <c r="K21" i="1"/>
  <c r="L21" i="1" s="1"/>
  <c r="K18" i="1"/>
  <c r="L18" i="1" s="1"/>
  <c r="K11" i="1"/>
  <c r="L11" i="1" s="1"/>
  <c r="X6" i="18" l="1"/>
  <c r="AJ30" i="18"/>
  <c r="R22" i="18"/>
  <c r="L6" i="18"/>
  <c r="R30" i="18"/>
  <c r="X22" i="18"/>
  <c r="X38" i="18"/>
  <c r="AD38" i="18"/>
  <c r="N11" i="1"/>
  <c r="AD22" i="18"/>
  <c r="M11" i="1"/>
  <c r="AB11" i="1" s="1"/>
  <c r="X14" i="18"/>
  <c r="L30" i="18"/>
  <c r="R38" i="18"/>
  <c r="AJ14" i="18"/>
  <c r="R14" i="18"/>
  <c r="AD6" i="18"/>
  <c r="AD30" i="18"/>
  <c r="AJ38" i="18"/>
  <c r="AJ22" i="18"/>
  <c r="X30" i="18"/>
  <c r="L14" i="18"/>
  <c r="L22" i="18"/>
  <c r="AJ6" i="18"/>
  <c r="L38" i="18"/>
  <c r="AD14" i="18"/>
  <c r="R6" i="18"/>
  <c r="L16" i="18"/>
  <c r="R24" i="18"/>
  <c r="L8" i="18"/>
  <c r="R32" i="18"/>
  <c r="AJ16" i="18"/>
  <c r="R8" i="18"/>
  <c r="AD24" i="18"/>
  <c r="AJ32" i="18"/>
  <c r="AD8" i="18"/>
  <c r="X40" i="18"/>
  <c r="N18" i="1"/>
  <c r="L32" i="18"/>
  <c r="X8" i="18"/>
  <c r="X24" i="18"/>
  <c r="AJ8" i="18"/>
  <c r="M18" i="1"/>
  <c r="AB18" i="1" s="1"/>
  <c r="R40" i="18"/>
  <c r="L40" i="18"/>
  <c r="X16" i="18"/>
  <c r="L24" i="18"/>
  <c r="AJ24" i="18"/>
  <c r="X32" i="18"/>
  <c r="AJ40" i="18"/>
  <c r="R16" i="18"/>
  <c r="AD40" i="18"/>
  <c r="AD32" i="18"/>
  <c r="AD16" i="18"/>
  <c r="M21" i="1"/>
  <c r="AB21" i="1" s="1"/>
  <c r="J42" i="18"/>
  <c r="P34" i="18"/>
  <c r="AB18" i="18"/>
  <c r="AB42" i="18"/>
  <c r="AH34" i="18"/>
  <c r="P10" i="18"/>
  <c r="V34" i="18"/>
  <c r="P42" i="18"/>
  <c r="V42" i="18"/>
  <c r="AH42" i="18"/>
  <c r="AB26" i="18"/>
  <c r="AH26" i="18"/>
  <c r="V26" i="18"/>
  <c r="AB34" i="18"/>
  <c r="V10" i="18"/>
  <c r="AH18" i="18"/>
  <c r="J34" i="18"/>
  <c r="J10" i="18"/>
  <c r="AB10" i="18"/>
  <c r="J18" i="18"/>
  <c r="N21" i="1"/>
  <c r="P26" i="18"/>
  <c r="J26" i="18"/>
  <c r="AH10" i="18"/>
  <c r="P18" i="18"/>
  <c r="V18" i="18"/>
  <c r="X42" i="18"/>
  <c r="AD34" i="18"/>
  <c r="AD10" i="18"/>
  <c r="AD26" i="18"/>
  <c r="L10" i="18"/>
  <c r="L42" i="18"/>
  <c r="L26" i="18"/>
  <c r="X18" i="18"/>
  <c r="X34" i="18"/>
  <c r="X10" i="18"/>
  <c r="R18" i="18"/>
  <c r="AJ10" i="18"/>
  <c r="AD42" i="18"/>
  <c r="AJ34" i="18"/>
  <c r="R26" i="18"/>
  <c r="M24" i="1"/>
  <c r="AB24" i="1" s="1"/>
  <c r="AA24" i="1" s="1"/>
  <c r="L18" i="18"/>
  <c r="AJ26" i="18"/>
  <c r="AD18" i="18"/>
  <c r="R34" i="18"/>
  <c r="L34" i="18"/>
  <c r="AJ42" i="18"/>
  <c r="R10" i="18"/>
  <c r="R42" i="18"/>
  <c r="X26" i="18"/>
  <c r="AJ18" i="18"/>
  <c r="N24" i="1"/>
  <c r="T14" i="18"/>
  <c r="AL38" i="18"/>
  <c r="N14" i="18"/>
  <c r="Z6" i="18"/>
  <c r="T38" i="18"/>
  <c r="T22" i="18"/>
  <c r="AL14" i="18"/>
  <c r="N22" i="18"/>
  <c r="N15" i="1"/>
  <c r="AF22" i="18"/>
  <c r="N6" i="18"/>
  <c r="AF6" i="18"/>
  <c r="AF38" i="18"/>
  <c r="M15" i="1"/>
  <c r="AB15" i="1" s="1"/>
  <c r="N38" i="18"/>
  <c r="AL30" i="18"/>
  <c r="AL22" i="18"/>
  <c r="T6" i="18"/>
  <c r="AF14" i="18"/>
  <c r="AF30" i="18"/>
  <c r="Z22" i="18"/>
  <c r="T30" i="18"/>
  <c r="Z30" i="18"/>
  <c r="AL6" i="18"/>
  <c r="Z14" i="18"/>
  <c r="Z38" i="18"/>
  <c r="N30" i="18"/>
  <c r="J40" i="18"/>
  <c r="AB40" i="18"/>
  <c r="AH32" i="18"/>
  <c r="AB24" i="18"/>
  <c r="V16" i="18"/>
  <c r="M17" i="1"/>
  <c r="AB17" i="1" s="1"/>
  <c r="AA17" i="1" s="1"/>
  <c r="J16" i="18"/>
  <c r="P32" i="18"/>
  <c r="V24" i="18"/>
  <c r="P24" i="18"/>
  <c r="V40" i="18"/>
  <c r="P16" i="18"/>
  <c r="P40" i="18"/>
  <c r="V32" i="18"/>
  <c r="AH16" i="18"/>
  <c r="AB16" i="18"/>
  <c r="V8" i="18"/>
  <c r="AH24" i="18"/>
  <c r="AH8" i="18"/>
  <c r="AH40" i="18"/>
  <c r="J8" i="18"/>
  <c r="AB32" i="18"/>
  <c r="AB8" i="18"/>
  <c r="J24" i="18"/>
  <c r="J32" i="18"/>
  <c r="P8" i="18"/>
  <c r="N17" i="1"/>
  <c r="Z42" i="18"/>
  <c r="T18" i="18"/>
  <c r="AF34" i="18"/>
  <c r="AF42" i="18"/>
  <c r="N42" i="18"/>
  <c r="Z18" i="18"/>
  <c r="AL10" i="18"/>
  <c r="AL26" i="18"/>
  <c r="AF26" i="18"/>
  <c r="Z10" i="18"/>
  <c r="N18" i="18"/>
  <c r="T26" i="18"/>
  <c r="AF10" i="18"/>
  <c r="T34" i="18"/>
  <c r="N26" i="18"/>
  <c r="AL18" i="18"/>
  <c r="N10" i="18"/>
  <c r="AF18" i="18"/>
  <c r="Z26" i="18"/>
  <c r="AL34" i="18"/>
  <c r="Z34" i="18"/>
  <c r="T10" i="18"/>
  <c r="AL42" i="18"/>
  <c r="N34" i="18"/>
  <c r="T42" i="18"/>
  <c r="P14" i="18"/>
  <c r="V22" i="18"/>
  <c r="V14" i="18"/>
  <c r="P22" i="18"/>
  <c r="V38" i="18"/>
  <c r="AH14" i="18"/>
  <c r="AH38" i="18"/>
  <c r="J14" i="18"/>
  <c r="AB22" i="18"/>
  <c r="V30" i="18"/>
  <c r="AB14" i="18"/>
  <c r="AB38" i="18"/>
  <c r="J30" i="18"/>
  <c r="P38" i="18"/>
  <c r="AB6" i="18"/>
  <c r="M10" i="1"/>
  <c r="AB10" i="1" s="1"/>
  <c r="AA10" i="1" s="1"/>
  <c r="AH30" i="18"/>
  <c r="J38" i="18"/>
  <c r="AH6" i="18"/>
  <c r="V6" i="18"/>
  <c r="AB30" i="18"/>
  <c r="J22" i="18"/>
  <c r="J6" i="18"/>
  <c r="P30" i="18"/>
  <c r="AH22" i="18"/>
  <c r="P6" i="18"/>
  <c r="N10" i="1"/>
  <c r="AH12" i="18"/>
  <c r="J20" i="18"/>
  <c r="J44" i="18"/>
  <c r="AB28" i="18"/>
  <c r="P28" i="18"/>
  <c r="P12" i="18"/>
  <c r="AH20" i="18"/>
  <c r="P44" i="18"/>
  <c r="AB12" i="18"/>
  <c r="P20" i="18"/>
  <c r="J36" i="18"/>
  <c r="P36" i="18"/>
  <c r="AB44" i="18"/>
  <c r="V44" i="18"/>
  <c r="J28" i="18"/>
  <c r="AH36" i="18"/>
  <c r="V12" i="18"/>
  <c r="V28" i="18"/>
  <c r="AH44" i="18"/>
  <c r="AB20" i="18"/>
  <c r="AB36" i="18"/>
  <c r="AH28" i="18"/>
  <c r="V36" i="18"/>
  <c r="V20" i="18"/>
  <c r="J12" i="18"/>
  <c r="AF24" i="18"/>
  <c r="AF32" i="18"/>
  <c r="T40" i="18"/>
  <c r="M20" i="1"/>
  <c r="AB20" i="1" s="1"/>
  <c r="AA20" i="1" s="1"/>
  <c r="AC20" i="1" s="1"/>
  <c r="Z40" i="18"/>
  <c r="AL8" i="18"/>
  <c r="AF8" i="18"/>
  <c r="T8" i="18"/>
  <c r="Z16" i="18"/>
  <c r="T24" i="18"/>
  <c r="AL24" i="18"/>
  <c r="Z32" i="18"/>
  <c r="N32" i="18"/>
  <c r="N16" i="18"/>
  <c r="Z8" i="18"/>
  <c r="AL40" i="18"/>
  <c r="N8" i="18"/>
  <c r="N24" i="18"/>
  <c r="T32" i="18"/>
  <c r="T16" i="18"/>
  <c r="AF40" i="18"/>
  <c r="AF16" i="18"/>
  <c r="AL32" i="18"/>
  <c r="N40" i="18"/>
  <c r="Z24" i="18"/>
  <c r="AL16" i="18"/>
  <c r="N20" i="1"/>
  <c r="AH23" i="19" l="1"/>
  <c r="AB53" i="19"/>
  <c r="V23" i="19"/>
  <c r="P53" i="19"/>
  <c r="J33" i="19"/>
  <c r="AH53" i="19"/>
  <c r="AB43" i="19"/>
  <c r="AH43" i="19"/>
  <c r="AB13" i="19"/>
  <c r="AC24" i="1"/>
  <c r="J23" i="19"/>
  <c r="V33" i="19"/>
  <c r="J53" i="19"/>
  <c r="V43" i="19"/>
  <c r="V53" i="19"/>
  <c r="P23" i="19"/>
  <c r="P13" i="19"/>
  <c r="J13" i="19"/>
  <c r="AB33" i="19"/>
  <c r="AH33" i="19"/>
  <c r="V13" i="19"/>
  <c r="P43" i="19"/>
  <c r="J43" i="19"/>
  <c r="AH13" i="19"/>
  <c r="P33" i="19"/>
  <c r="AB23" i="19"/>
  <c r="AA21" i="1"/>
  <c r="J32" i="19" s="1"/>
  <c r="AB22" i="1"/>
  <c r="J11" i="19"/>
  <c r="J31" i="19"/>
  <c r="P41" i="19"/>
  <c r="P21" i="19"/>
  <c r="AB11" i="19"/>
  <c r="V51" i="19"/>
  <c r="J41" i="19"/>
  <c r="AB31" i="19"/>
  <c r="V21" i="19"/>
  <c r="V11" i="19"/>
  <c r="AB41" i="19"/>
  <c r="J21" i="19"/>
  <c r="V41" i="19"/>
  <c r="P51" i="19"/>
  <c r="J51" i="19"/>
  <c r="P11" i="19"/>
  <c r="AB21" i="19"/>
  <c r="V31" i="19"/>
  <c r="AH51" i="19"/>
  <c r="P31" i="19"/>
  <c r="AH41" i="19"/>
  <c r="AB51" i="19"/>
  <c r="AH21" i="19"/>
  <c r="AH31" i="19"/>
  <c r="AH11" i="19"/>
  <c r="AA18" i="1"/>
  <c r="J40" i="19" s="1"/>
  <c r="AB19" i="1"/>
  <c r="AA19" i="1" s="1"/>
  <c r="AH49" i="19"/>
  <c r="V39" i="19"/>
  <c r="J19" i="19"/>
  <c r="AB29" i="19"/>
  <c r="AH29" i="19"/>
  <c r="AC17" i="1"/>
  <c r="P39" i="19"/>
  <c r="V9" i="19"/>
  <c r="V29" i="19"/>
  <c r="P49" i="19"/>
  <c r="AH39" i="19"/>
  <c r="AB19" i="19"/>
  <c r="J39" i="19"/>
  <c r="P9" i="19"/>
  <c r="AH9" i="19"/>
  <c r="P29" i="19"/>
  <c r="J49" i="19"/>
  <c r="V19" i="19"/>
  <c r="J9" i="19"/>
  <c r="AB39" i="19"/>
  <c r="AB9" i="19"/>
  <c r="J29" i="19"/>
  <c r="AB49" i="19"/>
  <c r="P19" i="19"/>
  <c r="AH19" i="19"/>
  <c r="V49" i="19"/>
  <c r="AA15" i="1"/>
  <c r="P48" i="19" s="1"/>
  <c r="AB16" i="1"/>
  <c r="AA16" i="1" s="1"/>
  <c r="AA11" i="1"/>
  <c r="AB7" i="19" s="1"/>
  <c r="AB12" i="1"/>
  <c r="P16" i="19"/>
  <c r="P6" i="19"/>
  <c r="AH6" i="19"/>
  <c r="V46" i="19"/>
  <c r="AH46" i="19"/>
  <c r="AB46" i="19"/>
  <c r="J6" i="19"/>
  <c r="P46" i="19"/>
  <c r="AB26" i="19"/>
  <c r="AB16" i="19"/>
  <c r="AH26" i="19"/>
  <c r="J16" i="19"/>
  <c r="V26" i="19"/>
  <c r="AH36" i="19"/>
  <c r="P26" i="19"/>
  <c r="V16" i="19"/>
  <c r="V36" i="19"/>
  <c r="AC10" i="1"/>
  <c r="AH16" i="19"/>
  <c r="V6" i="19"/>
  <c r="AB36" i="19"/>
  <c r="AB6" i="19"/>
  <c r="P36" i="19"/>
  <c r="J36" i="19"/>
  <c r="J26" i="19"/>
  <c r="J46" i="19"/>
  <c r="V25" i="19"/>
  <c r="V45" i="19"/>
  <c r="J15" i="19"/>
  <c r="AB45" i="19"/>
  <c r="AH25" i="19"/>
  <c r="AH55" i="19"/>
  <c r="AB15" i="19"/>
  <c r="P15" i="19"/>
  <c r="P45" i="19"/>
  <c r="V15" i="19"/>
  <c r="J35" i="19"/>
  <c r="AH45" i="19"/>
  <c r="J25" i="19"/>
  <c r="AB35" i="19"/>
  <c r="AH15" i="19"/>
  <c r="V35" i="19"/>
  <c r="J55" i="19"/>
  <c r="AB55" i="19"/>
  <c r="AB25" i="19"/>
  <c r="AH35" i="19"/>
  <c r="P55" i="19"/>
  <c r="J45" i="19"/>
  <c r="P25" i="19"/>
  <c r="P35" i="19"/>
  <c r="V55" i="19"/>
  <c r="AA22" i="1" l="1"/>
  <c r="W52" i="19" s="1"/>
  <c r="AB23" i="1"/>
  <c r="AA23" i="1" s="1"/>
  <c r="J42" i="19"/>
  <c r="AH12" i="19"/>
  <c r="AC21" i="1"/>
  <c r="P22" i="19"/>
  <c r="AH32" i="19"/>
  <c r="AH42" i="19"/>
  <c r="P52" i="19"/>
  <c r="AB22" i="19"/>
  <c r="V22" i="19"/>
  <c r="AH52" i="19"/>
  <c r="AB42" i="19"/>
  <c r="V52" i="19"/>
  <c r="AH22" i="19"/>
  <c r="J22" i="19"/>
  <c r="V42" i="19"/>
  <c r="P42" i="19"/>
  <c r="J52" i="19"/>
  <c r="AB32" i="19"/>
  <c r="V12" i="19"/>
  <c r="J12" i="19"/>
  <c r="AB12" i="19"/>
  <c r="P12" i="19"/>
  <c r="AB52" i="19"/>
  <c r="V32" i="19"/>
  <c r="P32" i="19"/>
  <c r="P40" i="19"/>
  <c r="AB20" i="19"/>
  <c r="V30" i="19"/>
  <c r="AB50" i="19"/>
  <c r="J10" i="19"/>
  <c r="AH30" i="19"/>
  <c r="AC18" i="1"/>
  <c r="J30" i="19"/>
  <c r="P30" i="19"/>
  <c r="AB10" i="19"/>
  <c r="AB30" i="19"/>
  <c r="P50" i="19"/>
  <c r="AH40" i="19"/>
  <c r="J20" i="19"/>
  <c r="P10" i="19"/>
  <c r="AB40" i="19"/>
  <c r="V40" i="19"/>
  <c r="J50" i="19"/>
  <c r="P20" i="19"/>
  <c r="V50" i="19"/>
  <c r="AH50" i="19"/>
  <c r="AH20" i="19"/>
  <c r="AH10" i="19"/>
  <c r="V10" i="19"/>
  <c r="V20" i="19"/>
  <c r="Q10" i="19"/>
  <c r="Q50" i="19"/>
  <c r="Q40" i="19"/>
  <c r="K50" i="19"/>
  <c r="AC10" i="19"/>
  <c r="AC30" i="19"/>
  <c r="W10" i="19"/>
  <c r="AC19" i="1"/>
  <c r="Q20" i="19"/>
  <c r="AC50" i="19"/>
  <c r="K40" i="19"/>
  <c r="AI20" i="19"/>
  <c r="K20" i="19"/>
  <c r="AI30" i="19"/>
  <c r="AC40" i="19"/>
  <c r="Q30" i="19"/>
  <c r="W20" i="19"/>
  <c r="K30" i="19"/>
  <c r="AI40" i="19"/>
  <c r="AI10" i="19"/>
  <c r="W30" i="19"/>
  <c r="W50" i="19"/>
  <c r="AI50" i="19"/>
  <c r="W40" i="19"/>
  <c r="AC20" i="19"/>
  <c r="K10" i="19"/>
  <c r="AB48" i="19"/>
  <c r="V38" i="19"/>
  <c r="P28" i="19"/>
  <c r="AH8" i="19"/>
  <c r="V28" i="19"/>
  <c r="V48" i="19"/>
  <c r="V8" i="19"/>
  <c r="AH48" i="19"/>
  <c r="AB38" i="19"/>
  <c r="J48" i="19"/>
  <c r="J38" i="19"/>
  <c r="P8" i="19"/>
  <c r="AB28" i="19"/>
  <c r="V18" i="19"/>
  <c r="J18" i="19"/>
  <c r="P38" i="19"/>
  <c r="J28" i="19"/>
  <c r="AH38" i="19"/>
  <c r="AH18" i="19"/>
  <c r="J8" i="19"/>
  <c r="AH28" i="19"/>
  <c r="AB8" i="19"/>
  <c r="P18" i="19"/>
  <c r="AB18" i="19"/>
  <c r="AC15" i="1"/>
  <c r="AC18" i="19"/>
  <c r="AC8" i="19"/>
  <c r="W18" i="19"/>
  <c r="AI8" i="19"/>
  <c r="Q48" i="19"/>
  <c r="AC38" i="19"/>
  <c r="Q28" i="19"/>
  <c r="W48" i="19"/>
  <c r="W28" i="19"/>
  <c r="AI48" i="19"/>
  <c r="W8" i="19"/>
  <c r="Q8" i="19"/>
  <c r="K48" i="19"/>
  <c r="AC48" i="19"/>
  <c r="AC16" i="1"/>
  <c r="W38" i="19"/>
  <c r="AI28" i="19"/>
  <c r="K38" i="19"/>
  <c r="Q38" i="19"/>
  <c r="K18" i="19"/>
  <c r="K8" i="19"/>
  <c r="AC28" i="19"/>
  <c r="AI18" i="19"/>
  <c r="K28" i="19"/>
  <c r="Q18" i="19"/>
  <c r="AI38" i="19"/>
  <c r="AA12" i="1"/>
  <c r="W37" i="19" s="1"/>
  <c r="AB13" i="1"/>
  <c r="P27" i="19"/>
  <c r="P47" i="19"/>
  <c r="AB27" i="19"/>
  <c r="J7" i="19"/>
  <c r="J27" i="19"/>
  <c r="AB17" i="19"/>
  <c r="AB47" i="19"/>
  <c r="AB37" i="19"/>
  <c r="AC11" i="1"/>
  <c r="P17" i="19"/>
  <c r="AH27" i="19"/>
  <c r="AH17" i="19"/>
  <c r="V47" i="19"/>
  <c r="V37" i="19"/>
  <c r="J17" i="19"/>
  <c r="J47" i="19"/>
  <c r="V7" i="19"/>
  <c r="V17" i="19"/>
  <c r="P37" i="19"/>
  <c r="AH7" i="19"/>
  <c r="AH47" i="19"/>
  <c r="V27" i="19"/>
  <c r="P7" i="19"/>
  <c r="J37" i="19"/>
  <c r="AH37" i="19"/>
  <c r="AC52" i="19" l="1"/>
  <c r="AI42" i="19"/>
  <c r="Q52" i="19"/>
  <c r="AC12" i="19"/>
  <c r="Q42" i="19"/>
  <c r="AC22" i="19"/>
  <c r="W22" i="19"/>
  <c r="W32" i="19"/>
  <c r="AC42" i="19"/>
  <c r="K22" i="19"/>
  <c r="Q22" i="19"/>
  <c r="W42" i="19"/>
  <c r="K52" i="19"/>
  <c r="Q12" i="19"/>
  <c r="AI52" i="19"/>
  <c r="K12" i="19"/>
  <c r="AC22" i="1"/>
  <c r="Q32" i="19"/>
  <c r="W12" i="19"/>
  <c r="K42" i="19"/>
  <c r="AI22" i="19"/>
  <c r="K32" i="19"/>
  <c r="AI12" i="19"/>
  <c r="AI32" i="19"/>
  <c r="AC32" i="19"/>
  <c r="AJ52" i="19"/>
  <c r="L12" i="19"/>
  <c r="AD42" i="19"/>
  <c r="R52" i="19"/>
  <c r="L22" i="19"/>
  <c r="AD32" i="19"/>
  <c r="L42" i="19"/>
  <c r="AJ32" i="19"/>
  <c r="L52" i="19"/>
  <c r="X42" i="19"/>
  <c r="R32" i="19"/>
  <c r="R22" i="19"/>
  <c r="AD22" i="19"/>
  <c r="R42" i="19"/>
  <c r="L32" i="19"/>
  <c r="X12" i="19"/>
  <c r="AJ12" i="19"/>
  <c r="X22" i="19"/>
  <c r="AC23" i="1"/>
  <c r="X52" i="19"/>
  <c r="AJ42" i="19"/>
  <c r="R12" i="19"/>
  <c r="X32" i="19"/>
  <c r="AJ22" i="19"/>
  <c r="AD12" i="19"/>
  <c r="AD52" i="19"/>
  <c r="Q17" i="19"/>
  <c r="AI37" i="19"/>
  <c r="AC17" i="19"/>
  <c r="K7" i="19"/>
  <c r="K47" i="19"/>
  <c r="AC12" i="1"/>
  <c r="AI47" i="19"/>
  <c r="AC47" i="19"/>
  <c r="AI17" i="19"/>
  <c r="AI7" i="19"/>
  <c r="Q47" i="19"/>
  <c r="W47" i="19"/>
  <c r="AC7" i="19"/>
  <c r="AI27" i="19"/>
  <c r="AA13" i="1"/>
  <c r="R17" i="19" s="1"/>
  <c r="AB14" i="1"/>
  <c r="AA14" i="1" s="1"/>
  <c r="K17" i="19"/>
  <c r="K27" i="19"/>
  <c r="W17" i="19"/>
  <c r="Q27" i="19"/>
  <c r="AC37" i="19"/>
  <c r="Q37" i="19"/>
  <c r="W27" i="19"/>
  <c r="AC27" i="19"/>
  <c r="Q7" i="19"/>
  <c r="W7" i="19"/>
  <c r="K37" i="19"/>
  <c r="AJ7" i="19" l="1"/>
  <c r="R7" i="19"/>
  <c r="X7" i="19"/>
  <c r="AD7" i="19"/>
  <c r="L47" i="19"/>
  <c r="L27" i="19"/>
  <c r="X37" i="19"/>
  <c r="AD17" i="19"/>
  <c r="AJ27" i="19"/>
  <c r="L7" i="19"/>
  <c r="X47" i="19"/>
  <c r="AJ47" i="19"/>
  <c r="AD27" i="19"/>
  <c r="L17" i="19"/>
  <c r="R47" i="19"/>
  <c r="AJ37" i="19"/>
  <c r="X27" i="19"/>
  <c r="X17" i="19"/>
  <c r="AC13" i="1"/>
  <c r="L37" i="19"/>
  <c r="R27" i="19"/>
  <c r="AD37" i="19"/>
  <c r="AJ17" i="19"/>
  <c r="R37" i="19"/>
  <c r="AD47" i="19"/>
  <c r="S37" i="19"/>
  <c r="M17" i="19"/>
  <c r="Y37" i="19"/>
  <c r="AC14" i="1"/>
  <c r="M27" i="19"/>
  <c r="S17" i="19"/>
  <c r="AE17" i="19"/>
  <c r="AK17" i="19"/>
  <c r="Y47" i="19"/>
  <c r="AK27" i="19"/>
  <c r="Y27" i="19"/>
  <c r="Y17" i="19"/>
  <c r="M7" i="19"/>
  <c r="AK47" i="19"/>
  <c r="S27" i="19"/>
  <c r="S7" i="19"/>
  <c r="Y7" i="19"/>
  <c r="M47" i="19"/>
  <c r="AE7" i="19"/>
  <c r="M37" i="19"/>
  <c r="AK37" i="19"/>
  <c r="AE27" i="19"/>
  <c r="AE37" i="19"/>
  <c r="AE47" i="19"/>
  <c r="S47" i="19"/>
  <c r="AK7"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<sst xmlns="http://schemas.openxmlformats.org/spreadsheetml/2006/main" count="530" uniqueCount="301">
  <si>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</si>
  <si>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</si>
  <si>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</si>
  <si>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</si>
  <si>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</si>
  <si>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</si>
  <si>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</si>
  <si>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</si>
  <si>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</si>
  <si>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</si>
  <si>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</si>
  <si>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</si>
  <si>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</si>
  <si>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</si>
  <si>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</si>
  <si>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</si>
  <si>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</si>
  <si>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</si>
  <si>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</si>
  <si>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</si>
  <si>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</si>
  <si>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</si>
  <si>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</si>
  <si>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</si>
  <si>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</si>
  <si>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</si>
  <si>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</si>
  <si>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</si>
  <si>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</si>
  <si>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</si>
  <si>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</si>
  <si>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</si>
  <si>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</si>
  <si>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</si>
  <si>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</si>
  <si>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</si>
  <si>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</si>
  <si>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</si>
  <si>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</si>
  <si>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</si>
  <si>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</si>
  <si>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</si>
  <si>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</si>
  <si>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</si>
  <si>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</si>
  <si>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</si>
  <si>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</si>
  <si>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</si>
  <si>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</si>
  <si>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</si>
  <si>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</si>
  <si>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</si>
  <si>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</si>
  <si>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</si>
  <si>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</si>
  <si>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</si>
  <si>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</si>
  <si>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</si>
  <si>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</si>
  <si>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</si>
  <si>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</si>
  <si>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</si>
  <si>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</si>
  <si>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</si>
  <si>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</si>
  <si>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</si>
  <si>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</si>
  <si>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</si>
  <si>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</si>
  <si>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</si>
  <si>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</si>
  <si>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</si>
  <si>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</si>
  <si>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</si>
  <si>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</si>
  <si>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</si>
  <si>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</si>
  <si>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</si>
  <si>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</si>
  <si>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</si>
  <si>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</si>
  <si>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</si>
  <si>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</si>
  <si>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</si>
  <si>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</si>
  <si>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</si>
  <si>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</si>
  <si>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</si>
  <si>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</si>
  <si>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</si>
  <si>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</si>
  <si>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</si>
  <si>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</si>
  <si>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</si>
  <si>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</si>
  <si>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</si>
  <si>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</si>
  <si>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</si>
  <si>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</si>
  <si>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</si>
  <si>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</si>
  <si>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</si>
  <si>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</si>
  <si>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</si>
  <si>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</si>
  <si>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</si>
  <si>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</si>
  <si>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</si>
  <si>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</si>
  <si>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</si>
  <si>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</si>
  <si>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</si>
  <si>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</si>
  <si>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</si>
  <si>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</si>
  <si>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</si>
  <si>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</si>
  <si>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</si>
  <si>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</si>
  <si>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</si>
  <si>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</si>
  <si>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</si>
  <si>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</si>
  <si>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</si>
  <si>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</si>
  <si>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</si>
  <si>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</si>
  <si>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</si>
  <si>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</si>
  <si>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</si>
  <si>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</si>
  <si>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</si>
  <si>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</si>
  <si>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</si>
  <si>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</si>
  <si>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</si>
  <si>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</si>
  <si>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</si>
  <si>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</si>
  <si>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</si>
  <si>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</si>
  <si>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</si>
  <si>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</si>
  <si>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</si>
  <si>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</si>
  <si>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</si>
  <si>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</si>
  <si>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</si>
  <si>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</si>
  <si>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</si>
  <si>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</si>
  <si>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</si>
  <si>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</si>
  <si>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</si>
  <si>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</si>
  <si>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</si>
  <si>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</si>
  <si>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</si>
  <si>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</si>
  <si>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</si>
  <si>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</si>
  <si>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</si>
  <si>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</si>
  <si>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</si>
  <si>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</si>
  <si>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</si>
  <si>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</si>
  <si>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</si>
  <si>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</si>
  <si>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</si>
  <si>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</si>
  <si>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</si>
  <si>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</si>
  <si>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</si>
  <si>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</si>
  <si>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</si>
  <si>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</si>
  <si>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</si>
  <si>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</si>
  <si>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</si>
  <si>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</si>
  <si>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</si>
  <si>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</si>
  <si>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</si>
  <si>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</si>
  <si>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</si>
  <si>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</si>
  <si>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</si>
  <si>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</si>
  <si>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</si>
  <si>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</si>
  <si>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</si>
  <si>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</si>
  <si>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</si>
  <si>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</si>
  <si>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</si>
  <si>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</si>
  <si>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</si>
  <si>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</si>
  <si>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</si>
  <si>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</si>
  <si>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</si>
  <si>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</si>
  <si>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</si>
  <si>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</si>
  <si>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</si>
  <si>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</si>
  <si>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</si>
  <si>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</si>
  <si>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</si>
  <si>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</si>
  <si>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</si>
  <si>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</si>
  <si>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Febrero a Diciembre de 2023</t>
  </si>
  <si>
    <t xml:space="preserve">• Primer seguimiento: Con corte al 30 de abril y los resultados del seguimiento se publicarán dentro de los diez (10) primeros días hábiles del mes de mayo.
• Segundo seguimiento: Con corte al 31 de agosto y los resultados se publicarán dentro de los diez (10) primeros días hábiles del mes de septiembre.
• Tercer seguimiento: Con corte al 31 de diciembre y los resultados se publicarán dentro de los diez (10) primeros días hábiles del mes de enero.
</t>
  </si>
  <si>
    <r>
      <rPr>
        <sz val="11"/>
        <color theme="1"/>
        <rFont val="Arial Narrow"/>
        <family val="2"/>
      </rPr>
      <t>Re socialización del Manual de funciones y competencias, Manual de procesos y procedimientos, Código de integridad, Código de Buen Gobierno a través de proceso de inducción y re inducción
Socializacion Manual de Contratación y Manual de supervisión e interventoria</t>
    </r>
    <r>
      <rPr>
        <sz val="10"/>
        <color theme="1"/>
        <rFont val="Arial Narrow"/>
        <family val="2"/>
      </rPr>
      <t xml:space="preserve">
</t>
    </r>
  </si>
  <si>
    <t>Aplicación de funciones, procesos y procedimientos
Realización de Comités Técnicos donde se analicen y discutan técnicamente los criterios y alternativas para la presentación de proyectos .</t>
  </si>
  <si>
    <t>Capacitación en Contratación Estatal y aplicación de Manual de Contratación   y Manual de Supervisión e Interventoria</t>
  </si>
  <si>
    <t>Dirección Técnica con el apoyo de laSecretaria General y Juridica</t>
  </si>
  <si>
    <t>Febrero a Diciembre de2023</t>
  </si>
  <si>
    <t>Revisión de los estudios por parte de la Secretaría General y Jurídica, revisión por parte de los comités evaluadores.</t>
  </si>
  <si>
    <t>Dirección Técnica</t>
  </si>
  <si>
    <t>Secretaria General y Juridica</t>
  </si>
  <si>
    <t>Reforzar la  ejecución de  los protocolos de seguridad de la custodia de la información</t>
  </si>
  <si>
    <r>
      <t xml:space="preserve">
</t>
    </r>
    <r>
      <rPr>
        <b/>
        <sz val="9"/>
        <color theme="1"/>
        <rFont val="Arial Narrow"/>
        <family val="2"/>
      </rPr>
      <t>GESTION CONTRACTUAL</t>
    </r>
    <r>
      <rPr>
        <sz val="11"/>
        <color theme="1"/>
        <rFont val="Arial Narrow"/>
        <family val="2"/>
      </rPr>
      <t xml:space="preserve">
1. Desconocimiento del Manual de contratación y de Supervisión e Interventoria por parte de los (as) supervisores (as) y contratistas de la Entidad
2. Desconocimiento de los contratos, convenios y demás procesos adelantados en la entidad.  Falta de un cronograma para realizar visitas de carácter técnico a los proyectos de la empresa de manera periódica.
3,.Intereses por beneficiar a una empresa particular para obtener provecho propio o intereses particulares.
4.Manipulación en la evaluación de las ofertas durante la ejecución de los procesos de Contratación.
</t>
    </r>
  </si>
  <si>
    <t>Secretaria General y Juridica con apoyo del profesional de técnologia</t>
  </si>
  <si>
    <t>Fortalecer el proceso de custodia de la información fisica dentro de la Entidad, revisando y evaluando el destino final de los soportes para tomar los correcctivos en caso de presentarse falencias.
Evaluar la implementación y uso en la entidad de la plataforma  Secop II</t>
  </si>
  <si>
    <r>
      <t xml:space="preserve">
</t>
    </r>
    <r>
      <rPr>
        <b/>
        <sz val="9"/>
        <color theme="1"/>
        <rFont val="Arial Narrow"/>
        <family val="2"/>
      </rPr>
      <t>GESTION CONTRACTUAL</t>
    </r>
    <r>
      <rPr>
        <sz val="11"/>
        <color theme="1"/>
        <rFont val="Arial Narrow"/>
        <family val="2"/>
      </rPr>
      <t xml:space="preserve">
1. Incumplimiento de los procesos de contratación, y de supervisión e interventoria adelantados en la entidad.
2. Incumplimiento en el acompañamiento técnico a los procesos a cargo de la entidad, incumplimiento a la visitas  de carácter técnico.
 3..Elaborar estudios de necesidad manipulados por personal interesado en el futuro proceso de contratación.
4. Beneficio  económico que se quiere obtener por parte del funcionario, no contar con las medidas  de seguridad para la custodia de las ofertas, filtración de la información reservada en la etapa de evaluación del procesos de contratación, posibles acuerdos entre proponentes que participan de un proceso para manipular la adjudicación del contrato.</t>
    </r>
  </si>
  <si>
    <t xml:space="preserve">Revisión del proceso de cargue de la contratación a la plataforma SECOP 1  a través de proceso aleatorio de auditoria y/o por medio de la rendición y revisón de la cuenta anual 2022 a presentar ante la Contraloria Departamental del Tolima
Seguimiento al reporte de auditoria ITA 0998 periodo 2022 realizado por la PGN a través de la firma auditora  JAHV Mc Gregor S.A.S, promoviendo los ajustes requeridos para el cumplimiento de las observaciones registyadas en dicho informe.  </t>
  </si>
  <si>
    <r>
      <t xml:space="preserve">
</t>
    </r>
    <r>
      <rPr>
        <b/>
        <sz val="9"/>
        <color theme="1"/>
        <rFont val="Arial Narrow"/>
        <family val="2"/>
      </rPr>
      <t>GESTION TECNOLOGICA</t>
    </r>
    <r>
      <rPr>
        <sz val="11"/>
        <color theme="1"/>
        <rFont val="Arial Narrow"/>
        <family val="2"/>
      </rPr>
      <t xml:space="preserve">
1. Tecnología de baja seguridad y obsoleta.
Modificación de datos o registro de información sin la debida autorización, en la página web de contratación o en los archivos de la carpeta.
Perdida de las llaves, claves o códigos fuente de la página web 
2. Falla en los equipos de cómputo, asociadas a falta de mantenimiento u obsolescencia tecnológica de la plataforma.
Debilidades en la cantidad y periodicidad de las copias de seguridad.
Debilidades en la seguridad de los sistemas de información.
Deficiencias en las instalaciones de red, eléctricas, servidores, etc. 
Falta de recursos económicos para inversión en la actualización y mejora de la plataforma tecnológica de la Entidad.
</t>
    </r>
  </si>
  <si>
    <t>Mapa de Riesgos de Corrupción periodo 2023 Empresa Departamental de Acueducto Alcantarillado y Aseo del Tolima EDAT S.A E.S.P Oficial</t>
  </si>
  <si>
    <t>Identificar factores de riesgo de corrupción que se pueden presentar dentro de la EDAT S.A E.S.P , el plan  de acción y los controles a ejecutar para mitigar la materializacion de los mismos.</t>
  </si>
  <si>
    <t xml:space="preserve">Se tuvieron en cuenta los procesos dentro de la Entidad para la determinación de los posibles factores de  riesgos de corrupción  </t>
  </si>
  <si>
    <r>
      <t xml:space="preserve">
</t>
    </r>
    <r>
      <rPr>
        <b/>
        <sz val="9"/>
        <color theme="1"/>
        <rFont val="Arial Narrow"/>
        <family val="2"/>
      </rPr>
      <t>GESTION Y DESARROLLO DE PROYECTOS</t>
    </r>
    <r>
      <rPr>
        <sz val="11"/>
        <color theme="1"/>
        <rFont val="Arial Narrow"/>
        <family val="2"/>
      </rPr>
      <t xml:space="preserve">
1. Proyectos radicados ante los entes generadores de recursos que no cumplen con los requisitos exigidos de carácter técnico.</t>
    </r>
  </si>
  <si>
    <r>
      <t xml:space="preserve">
</t>
    </r>
    <r>
      <rPr>
        <b/>
        <sz val="9"/>
        <color theme="1"/>
        <rFont val="Arial Narrow"/>
        <family val="2"/>
      </rPr>
      <t>GESTION Y DESARROLLO DE PROYECTOS</t>
    </r>
    <r>
      <rPr>
        <sz val="11"/>
        <color theme="1"/>
        <rFont val="Arial Narrow"/>
        <family val="2"/>
      </rPr>
      <t xml:space="preserve">
1. Elaboración deficiente de los diseños y estudios técnicos de un proyecto.</t>
    </r>
  </si>
  <si>
    <r>
      <t xml:space="preserve">
</t>
    </r>
    <r>
      <rPr>
        <b/>
        <sz val="9"/>
        <rFont val="Arial Narrow"/>
        <family val="2"/>
      </rPr>
      <t>GESTION Y DESARROLLO DE PROYECTOS</t>
    </r>
    <r>
      <rPr>
        <sz val="11"/>
        <rFont val="Arial Narrow"/>
        <family val="2"/>
      </rPr>
      <t xml:space="preserve">
1. Incumplimiento del proyecto.
Incumplimiento del objeto del contrato (obras, interventoría) 
Mala imagen de la entidad. 
Mal desarrollo de la obra y calidad de la construcción del proyecto.</t>
    </r>
  </si>
  <si>
    <t>Gestión para la presentación de documentación exigida en las listas de chequeo.</t>
  </si>
  <si>
    <t>Secretaría General y Juridica</t>
  </si>
  <si>
    <r>
      <t xml:space="preserve">
</t>
    </r>
    <r>
      <rPr>
        <b/>
        <sz val="9"/>
        <color theme="1"/>
        <rFont val="Arial Narrow"/>
        <family val="2"/>
      </rPr>
      <t>GESTION TECNOLOGICA</t>
    </r>
    <r>
      <rPr>
        <sz val="11"/>
        <color theme="1"/>
        <rFont val="Arial Narrow"/>
        <family val="2"/>
      </rPr>
      <t xml:space="preserve">
1. Sistemas de información susceptibles de manipulación o adulteración.
2. La información almacenada en los equipos y en especial la relacionada con los sistemas de información puede sufrir pérdida o puede ser alterada por personas ajenas a la entidad.</t>
    </r>
  </si>
  <si>
    <t>Las copias de seguridad se realizarán de manera periódica en los equipos que presentan mayor cantidad de información
Implementar el Plan Estratégico de Tecnologías de la Información y Comunicaciones (PETIC), en donde se incluyan la descripicón y el cronograma de actividades para el desarrollo de: mantenimiento preventivo de hardware y software, estrategias para la seguridad de la información, definición de necesidades de ajuste en la plataforma tecnológica (redes, instalaciones eléctricas, servidores, etc.)</t>
  </si>
  <si>
    <r>
      <rPr>
        <b/>
        <sz val="9"/>
        <color theme="1"/>
        <rFont val="Arial Narrow"/>
        <family val="2"/>
      </rPr>
      <t>GESTION JURIDICA</t>
    </r>
    <r>
      <rPr>
        <sz val="11"/>
        <color theme="1"/>
        <rFont val="Arial Narrow"/>
        <family val="2"/>
      </rPr>
      <t xml:space="preserve">
1. Buscar un beneficio propio y/o de un tercero
Trafico de influencias
Soborno
Utilización indebida de información.
2. Inexistencia de control efectivo por parte del superior jerárquico (Gerente),
 Buscar un beneficio propio y/o de un tercero
Trafico de influencias
Soborno
Utilización indebida de información.
</t>
    </r>
  </si>
  <si>
    <r>
      <rPr>
        <b/>
        <sz val="9"/>
        <rFont val="Arial Narrow"/>
        <family val="2"/>
      </rPr>
      <t xml:space="preserve">GESTION JURIDICA
</t>
    </r>
    <r>
      <rPr>
        <b/>
        <sz val="11"/>
        <rFont val="Arial Narrow"/>
        <family val="2"/>
      </rPr>
      <t xml:space="preserve">
</t>
    </r>
    <r>
      <rPr>
        <sz val="11"/>
        <rFont val="Arial Narrow"/>
        <family val="2"/>
      </rPr>
      <t xml:space="preserve">1. </t>
    </r>
    <r>
      <rPr>
        <b/>
        <sz val="11"/>
        <rFont val="Arial Narrow"/>
        <family val="2"/>
      </rPr>
      <t xml:space="preserve"> </t>
    </r>
    <r>
      <rPr>
        <sz val="11"/>
        <rFont val="Arial Narrow"/>
        <family val="2"/>
      </rPr>
      <t>Ejercer una indebida defensa judicial y/o administrativa con  la finalidad de favorecer a intereses contrarios de la EDAT S.A E.S.P OFICIAL.
2.-Elaborar conceptos jurídicos contraviniendo el orden jurídico o adaptando la normatividad para beneficio propio o de un tercero.</t>
    </r>
  </si>
  <si>
    <r>
      <rPr>
        <b/>
        <sz val="9"/>
        <color theme="1"/>
        <rFont val="Arial Narrow"/>
        <family val="2"/>
      </rPr>
      <t>GESTION JURIDICA</t>
    </r>
    <r>
      <rPr>
        <sz val="11"/>
        <color theme="1"/>
        <rFont val="Arial Narrow"/>
        <family val="2"/>
      </rPr>
      <t xml:space="preserve">
1. Dilatación de los procesos con el propósito de obtener el vencimiento de términos o la prescripción del mismo.
2..Desconocimiento de la Ley o interpretaciones subjetivas de las normas vigentes para evitar o postergar su aplicación</t>
    </r>
  </si>
  <si>
    <t>Revisar y actualizar  las políticas de defensa judicial con el fin de minimizar riesgos.
Actualizar la Política de Daño Antijurídico</t>
  </si>
  <si>
    <t xml:space="preserve">
Reforzar las políticas de defensa judicial a través de capacitación para los abogados de planta y  contratistas de la Entidasd con el fin de nimizar riesgos.</t>
  </si>
  <si>
    <r>
      <t xml:space="preserve">
</t>
    </r>
    <r>
      <rPr>
        <b/>
        <sz val="9"/>
        <color theme="1"/>
        <rFont val="Arial Narrow"/>
        <family val="2"/>
      </rPr>
      <t>GESTION DOCUMENTAL</t>
    </r>
    <r>
      <rPr>
        <sz val="11"/>
        <color theme="1"/>
        <rFont val="Arial Narrow"/>
        <family val="2"/>
      </rPr>
      <t xml:space="preserve">
1. Deficiencia en el manejo documental y de archivo que incrementan a la corrupción.
Falta de seguimiento en la aplicación de la ley General de Archivo, </t>
    </r>
  </si>
  <si>
    <r>
      <t xml:space="preserve">
</t>
    </r>
    <r>
      <rPr>
        <b/>
        <sz val="9"/>
        <color theme="1"/>
        <rFont val="Arial Narrow"/>
        <family val="2"/>
      </rPr>
      <t>GESTION DOCUMENTAL</t>
    </r>
    <r>
      <rPr>
        <sz val="11"/>
        <color theme="1"/>
        <rFont val="Arial Narrow"/>
        <family val="2"/>
      </rPr>
      <t xml:space="preserve">
1. Falta de competencia, preparación o conocimiento en temas inherentes  a la Getión Documental</t>
    </r>
  </si>
  <si>
    <r>
      <t xml:space="preserve">
</t>
    </r>
    <r>
      <rPr>
        <b/>
        <sz val="9"/>
        <rFont val="Arial Narrow"/>
        <family val="2"/>
      </rPr>
      <t>GESTION DOCUMENTAL</t>
    </r>
    <r>
      <rPr>
        <sz val="11"/>
        <rFont val="Arial Narrow"/>
        <family val="2"/>
      </rPr>
      <t xml:space="preserve">
1. Pérdida o manipulación de la documentación. Sanciones.</t>
    </r>
  </si>
  <si>
    <t>Implementar en cada proceso, los lineamientos del proceso de gestión documental (PINAR - PGD - Tablas de Retención Documental, Transferencias Documentales 2023)
La información solo debe ser manipulada por la (s) personas autorizadas de gestión documental</t>
  </si>
  <si>
    <t>Secretaria General y Juridica con el apoyo de los colaboradiores de Archivo y el concurso de todas las Direcciones de la EDAT</t>
  </si>
  <si>
    <t>Realizar Comités de Gestión y Desempeño para tratar tema especifico de Gestión Documental utilizando como insumo un informe detallado del estado del archivo de gestión y archivo central determinado las falencias y fijar lasa cciones de mejora  a implememtar</t>
  </si>
  <si>
    <t xml:space="preserve">
Elaboración y revisión de conciliaciones bancarias de modo que se realicen en las fechas establecidas por la entidad con la identificacion de los soportes respectivos y bajo parametros de confiabilidad consistencia  integridad</t>
  </si>
  <si>
    <t>Seguimiento de manejo a los rubros presupuestales de la entidad, a partir de auditorías periodicas a las conciliaciones bancarias</t>
  </si>
  <si>
    <t>Director Financiero y de Tesoreria</t>
  </si>
  <si>
    <t>Revisión de la información generada desde la Dirección Financiera conforme a las fechas máximas de entrega establecidas por las diversas entidades de control y seguimiento</t>
  </si>
  <si>
    <t>Dirección Financiera y de Tesoreria</t>
  </si>
  <si>
    <r>
      <t xml:space="preserve">
</t>
    </r>
    <r>
      <rPr>
        <b/>
        <sz val="9"/>
        <color theme="1"/>
        <rFont val="Arial Narrow"/>
        <family val="2"/>
      </rPr>
      <t>GESTION FINANCIERA</t>
    </r>
    <r>
      <rPr>
        <sz val="11"/>
        <color theme="1"/>
        <rFont val="Arial Narrow"/>
        <family val="2"/>
      </rPr>
      <t xml:space="preserve">
1. Falta de control en el manejo de los recursos en la entidad.
2. Desconocimiento de los principios básicos en la elaboración y ejecución del presupuesto y la gestión financiera.
3. Implementación de aplicativos sin la suficiente capacitación para su manejo, falta de seguimiento periódico a la información.</t>
    </r>
  </si>
  <si>
    <t>Realizar la presentación de los informes contables, financieros y presupuestales. según cronogramas y por requerimientos</t>
  </si>
  <si>
    <t xml:space="preserve">Presentación oportuna de los informes de acuerdo al cronograma de los entes de control.
</t>
  </si>
  <si>
    <r>
      <t xml:space="preserve">
</t>
    </r>
    <r>
      <rPr>
        <b/>
        <sz val="9"/>
        <color theme="1"/>
        <rFont val="Arial Narrow"/>
        <family val="2"/>
      </rPr>
      <t>GESTION FINANCIERA</t>
    </r>
    <r>
      <rPr>
        <sz val="11"/>
        <color theme="1"/>
        <rFont val="Arial Narrow"/>
        <family val="2"/>
      </rPr>
      <t xml:space="preserve">
1. Pagos erróneos intencionales a personas que no han prestado bienes y/o servicios a la entidad.
2, Error en la planeación presupuestal
3. Información inoportuna e incompleta. Inexactitud en la información trasmitida, falta de control y conocimiento real de los bienes o activos fijos de la entidad. Desconocimiento de los recursos disponibles.</t>
    </r>
  </si>
  <si>
    <t>Adelantar un proceso de rediseño organizacional y modenización de la entidad, en donde se tenga en cuenta los compromisos definidos en el Plan de Desarrollo Departamental, el PDA y la optimización de los cargos de planta disponibles que se encuentran vacantes.
Dicho estudio técnico incluye la actualización del Manual de Funciones</t>
  </si>
  <si>
    <t>Implementación del Rediseño Organizacional
Manual de Funciones actualizado</t>
  </si>
  <si>
    <t>Gerencia General</t>
  </si>
  <si>
    <r>
      <t xml:space="preserve">
</t>
    </r>
    <r>
      <rPr>
        <b/>
        <sz val="9"/>
        <color theme="1"/>
        <rFont val="Arial Narrow"/>
        <family val="2"/>
      </rPr>
      <t>GESTION HUMANA</t>
    </r>
    <r>
      <rPr>
        <sz val="11"/>
        <color theme="1"/>
        <rFont val="Arial Narrow"/>
        <family val="2"/>
      </rPr>
      <t xml:space="preserve">
1. La actual estructura organizacional no cubre la totalidad de necesidades de la entidad, por lo que se ha continuado con los contratos de prestación de servicios, para cubrir las falencias de personal.
Manual de Funciones desactualizado</t>
    </r>
  </si>
  <si>
    <r>
      <t xml:space="preserve">
</t>
    </r>
    <r>
      <rPr>
        <b/>
        <sz val="9"/>
        <color theme="1"/>
        <rFont val="Arial Narrow"/>
        <family val="2"/>
      </rPr>
      <t>GESTION HUMANA</t>
    </r>
    <r>
      <rPr>
        <sz val="11"/>
        <color theme="1"/>
        <rFont val="Arial Narrow"/>
        <family val="2"/>
      </rPr>
      <t xml:space="preserve">
1. Insuficiente planta de personal de acuerdo con los requisitos legales.</t>
    </r>
  </si>
  <si>
    <r>
      <t xml:space="preserve">
</t>
    </r>
    <r>
      <rPr>
        <b/>
        <sz val="9"/>
        <rFont val="Arial Narrow"/>
        <family val="2"/>
      </rPr>
      <t>GESTION HUMANA</t>
    </r>
    <r>
      <rPr>
        <sz val="11"/>
        <rFont val="Arial Narrow"/>
        <family val="2"/>
      </rPr>
      <t xml:space="preserve">
1. Contratación de personal por la modalidad de Prestación de Servicios para cumplir actividades misionales.
Sobrecarga laboral en funcionarios directivos.
Pérdida de información o de continuidad en procesos misionales, ante situaciones ocmo vencimiento del contrato o cambios de gobierno</t>
    </r>
  </si>
  <si>
    <t>Secretaría  General y Juridica</t>
  </si>
  <si>
    <t>Realizar la revisión técnica financiera y juridica  de los estudios de necesidad, verificar análisis de precios de mercado y demás documentos soportes.</t>
  </si>
  <si>
    <t>Dirección Técnica con el apoyo de la Secretaria General y Juridica y Dirección Financiera</t>
  </si>
  <si>
    <t xml:space="preserve">Se precisa el apoyo técnico , financiero y  juridico para el desarrollo de cada uno de los proyectos de APSB.
- Se identifica la realización del Comité Directivo No 72 del 13 de febrero de 2023 y No 73 del 26 de abril de 2023, abordando entre otros actualización de estudios, reformulación de proyectos.
-Se reconoce el control de proyectos viabilizados , radicados ante ventanilla unica departamental, ventanilla nacional, radicados en la EDAT
</t>
  </si>
  <si>
    <t>Se reconoce el control de proyectos viabilizados , radicados ante ventanilla unica departamental, ventanilla nacional, radicados en la EDAT</t>
  </si>
  <si>
    <t>Revisión y analisis del proceso de elaboración y ejecución de presupuesto a traves del PEI</t>
  </si>
  <si>
    <t>Se identifica presentación oportuna de :
- Información contable pública por convergencia , validación entre CHIP y estados financieros corte 31 de marzo de 2023
- Información para cuenta anual 2022 a través de la herramienta SIA Auditorias de la Contraloriía Departamental del Tolima.
-CUIPO Categoria Unica de Información del Presupuesto Ordinario a marzo 31 de 2023:
A. Programación de ingresos
B. Ejecución de ingresos
C. Programación de Gastos
D. Ejecución de Gastos 
-Proceso a fortalecer de modo que se pueda identificar el cumplimiento en la presentación de todos los informes</t>
  </si>
  <si>
    <t>Realización de Comités para evaluación técnica finaciera y juridica de los procesos de contratación en la Entidad</t>
  </si>
  <si>
    <t>Supervisión de las actividades del contrato por medio de la revisión del informe de actividades presentado por el contratista de apoyo a la supervisión.
Realización de comité técnico de seguimiento a los contratos de obra 
Elaboración del inventario de proyectos donde actúa como gestor la EDAT</t>
  </si>
  <si>
    <r>
      <t xml:space="preserve">
</t>
    </r>
    <r>
      <rPr>
        <b/>
        <sz val="9"/>
        <rFont val="Arial Narrow"/>
        <family val="2"/>
      </rPr>
      <t>GESTION CONTRACTUA</t>
    </r>
    <r>
      <rPr>
        <b/>
        <sz val="11"/>
        <rFont val="Arial Narrow"/>
        <family val="2"/>
      </rPr>
      <t xml:space="preserve">L
</t>
    </r>
    <r>
      <rPr>
        <sz val="11"/>
        <rFont val="Arial Narrow"/>
        <family val="2"/>
      </rPr>
      <t xml:space="preserve">
1. Falencias en el proceso de contratación y formulación - seguimiento de proyectos de acueducto alcantarillado y aseo  que originan retrasos en el desarrollo de los mismos con consecuencias de tipo técnico financiero y jurídico
2. Falta de agilidad en el desarrollo de los proyectos de acueducto alcantarillado y aseo que tiene a cargo la entidad, ocasionado problemas de tipo técnico, financiero y juridico.
3.Perdida de credibilidad de la imagen institucional, demandas judiciales en contra de la entidad y posibles sanciones legales u disciplinarias.
4.Crisis de valores por parte de los funcionarios de la entidad, que ocasiona un re direccionamiento al resultado de la evaluación y por ende una pérdida de la transparencia del proceso.</t>
    </r>
  </si>
  <si>
    <t>Fortalecer el punto de control para la custodia de la información</t>
  </si>
  <si>
    <r>
      <rPr>
        <b/>
        <sz val="9"/>
        <rFont val="Arial Narrow"/>
        <family val="2"/>
      </rPr>
      <t xml:space="preserve">
GESTION TECNOLOGICA</t>
    </r>
    <r>
      <rPr>
        <sz val="11"/>
        <rFont val="Arial Narrow"/>
        <family val="2"/>
      </rPr>
      <t xml:space="preserve">
1. La tecnología empleada en los procesos, especialmente en los de  contratación, pueden ser vulnerables ante posibles saboteos con el propósito de re direccionar los procesos de contratación.
2. No contar con información para la toma de decisiones.
Uso inadecuado de información sustraida.
Incumplimiento en la presentación de informes y reportes solicitados por los entes de control y demás partes interesadas.
Generación y consolidación de información de carácter manual, ante la debilidad de los sistemas de información.
Incertidumbre al interior de la organización por el manejo de la información</t>
    </r>
  </si>
  <si>
    <t>Realizar copias de seguridad de los sistemas de información para custodia por parte de la Entidad</t>
  </si>
  <si>
    <t>Verificación de los requisitos para radicar documentos antes los Entes Generadores de Recursos  a través de la validación de las listas de chequeo</t>
  </si>
  <si>
    <t>Establecer el Comité de Seguimiento  a los procesos juridicos de la Entidad con periodicidad semestral</t>
  </si>
  <si>
    <r>
      <t xml:space="preserve">
</t>
    </r>
    <r>
      <rPr>
        <b/>
        <sz val="9"/>
        <rFont val="Arial Narrow"/>
        <family val="2"/>
      </rPr>
      <t>GESTION FINANCIERA</t>
    </r>
    <r>
      <rPr>
        <b/>
        <sz val="11"/>
        <rFont val="Arial Narrow"/>
        <family val="2"/>
      </rPr>
      <t xml:space="preserve"> </t>
    </r>
    <r>
      <rPr>
        <sz val="11"/>
        <rFont val="Arial Narrow"/>
        <family val="2"/>
      </rPr>
      <t xml:space="preserve">
1. Posible detrimento patrimonial por  traslados de recursos públicos a cuentas bancarias particulares.
2. Incumplimiento de los términos, ordenar gastos sin facultad legal, retardar el pago de las obligaciones legales, traslado irregular de fondos.
3. Posibles sanciones por extemporaneidad en los informes contables, financieros y presupuestales.</t>
    </r>
  </si>
  <si>
    <t xml:space="preserve">Secretaria General y Juridica con apoyo del profesional de técnologia
</t>
  </si>
  <si>
    <t xml:space="preserve">Realizar Comités de seguimiento a los procesos juridicos de la Entidad, evaluando la trazabilidad de cada proceso y los resultados del mismo.
Ejecutar  plan de auditoria interna a la Secretaria General y Juridica determinando los hallazgos y estableciendo las acciones de mejora necesarias para el cumplimiento  de objetivos
</t>
  </si>
  <si>
    <t>Se reconoce el informe de Ejecución del PEI  vigencia 2023 a través de informes a la Asamblea Departamental, determinando el control de la ejecución presupuestal</t>
  </si>
  <si>
    <r>
      <t xml:space="preserve">
</t>
    </r>
    <r>
      <rPr>
        <b/>
        <sz val="9"/>
        <rFont val="Arial Narrow"/>
        <family val="2"/>
      </rPr>
      <t>PROCESO GESTION ESTRATEGICA</t>
    </r>
    <r>
      <rPr>
        <sz val="11"/>
        <rFont val="Arial Narrow"/>
        <family val="2"/>
      </rPr>
      <t xml:space="preserve">
1,Formulación inadecuada de los programas y proyectos en el sector de saneamiento de agua potable y saneamiento básico generando inconsistencias de tipo técnico, financiero, juridico</t>
    </r>
  </si>
  <si>
    <r>
      <t xml:space="preserve">
</t>
    </r>
    <r>
      <rPr>
        <b/>
        <sz val="9"/>
        <color theme="1"/>
        <rFont val="Arial Narrow"/>
        <family val="2"/>
      </rPr>
      <t>PROCESO GESTION ESTRATEGICA</t>
    </r>
    <r>
      <rPr>
        <sz val="11"/>
        <color theme="1"/>
        <rFont val="Arial Narrow"/>
        <family val="2"/>
      </rPr>
      <t xml:space="preserve">
1, Priorización de proyectos para beneficiar a terceros.</t>
    </r>
  </si>
  <si>
    <r>
      <t xml:space="preserve">
</t>
    </r>
    <r>
      <rPr>
        <b/>
        <sz val="9"/>
        <color theme="1"/>
        <rFont val="Arial Narrow"/>
        <family val="2"/>
      </rPr>
      <t>PROCESO GESTION ESTRATEGICA</t>
    </r>
    <r>
      <rPr>
        <sz val="11"/>
        <color theme="1"/>
        <rFont val="Arial Narrow"/>
        <family val="2"/>
      </rPr>
      <t xml:space="preserve">
1,Amigüismo Beneficios económicos particulares Abuso de poder</t>
    </r>
  </si>
  <si>
    <t>SEGUNDO Seguimiento</t>
  </si>
  <si>
    <t>% avance</t>
  </si>
  <si>
    <t>Se realizó jornada de inducción y reinducción el 26 de mayo de 2023.
https://www.edat.gov.co/1-mecanismos-de-contacto/mecanismos-de-contacto/95-edat/768-capacitaciones-2022
De igual manera se están realizando Comités Técnicos para el seguimiento de los proyectos, por parte de la Dirección Técnica.</t>
  </si>
  <si>
    <t>Se realizó jornada de inducción y reinducción el 26 de mayo de 2023.
https://www.edat.gov.co/1-mecanismos-de-contacto/mecanismos-de-contacto/95-edat/768-capacitaciones-2022
De igual manera se están realizando Comités Técnicos para el seguimiento de los proyectos, por parte de la Dirección Técnica.
Se identifican los informes de actividades de los contratistas y la revisión de los mismos por parte de los supervisores.
-Se identifica el inventario de proyectos el cual es insumo para diferentes informes ante diferentes instancias y entes de control.</t>
  </si>
  <si>
    <t xml:space="preserve">Se  está fortaleciendo el proceso de seguridad en la presentación de propuestas a través de la custodia de las mismas y la elaboración del documento  de cierre de las mismas que es publicadon en el SECOP y  archivo en fisico </t>
  </si>
  <si>
    <t>Se refiere el  envió de la información solicitada por la Contraloria  Departamental del Tolima  dentro de la Rendición y Revisión de la Cuenta 2022 soportando la contratación 2022.
Evaluación del archivo de gestión.
En el CIGD realizado el 25 de julio en el marco del Comité de Archivo se establecieron lineamientos para fortalecer la Gestión Documental de la Entidad.
https://www.edat.gov.co/1-mecanismos-de-contacto/mecanismos-de-contacto/95-edat/686-actas-cigd</t>
  </si>
  <si>
    <t xml:space="preserve">Se estan realizando las copias de seguridad de acuerdo con la programación establecida por el proceso de Gestión Tecnológica.
A partir del mes de abril se retomó el  proceso de implementación del PETIC, en temas comodesarrollo de: mantenimiento preventivo de hardware y software, estrategias para la seguridad de la información, definición de necesidades de ajuste en la plataforma tecnológica (redes, instalaciones eléctricas, servidores, etc.) </t>
  </si>
  <si>
    <t>Se reprograma actividad para el último cuatrimestre del 2023</t>
  </si>
  <si>
    <t>Se realizó la actualización de la Politica de Daño Antijuridico.
Se está a la espera de su aprobación por parte del CIGD y del Comité de Conciliación.
https://www.edat.gov.co/images/edat/planeacion_institucional/GJU-POL-001_Pol%C3%ADtica_Prevenci%C3%B3n_Da%C3%B1o_AntiJur%C3%ADdico.pdf</t>
  </si>
  <si>
    <t xml:space="preserve">En mayo 11  CIGD se realizó un informe del estado de avance de los archivos cmo preparación para empalme, en tal sentido se generó plan de contingencia el cual sera objeto de seguimiento en proximos comités. (Ver acta de comité)
De igual manera, en el CIGD realizado el 25 de julio se reafirmaron los lineamientos y responsabilidades para la actualización de los documentos en el marco de la Gestión Documental.
https://www.edat.gov.co/1-mecanismos-de-contacto/mecanismos-de-contacto/95-edat/686-actas-cigd
</t>
  </si>
  <si>
    <t>Se identifica el proceso de Conciliaciones Bancarias del segundo cuatrimestre del año 2023 .</t>
  </si>
  <si>
    <t>Se encuentra en proceso de desarrollo el esquema de formalización laboral, de acuerdo con los lineamientos del Gobierno nacional y el Departamento Administrativo de la Función Pública. Circular 100-005 de diciembre de 2022</t>
  </si>
  <si>
    <t>% AVANCE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</si>
</sst>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0"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8"/>
      <color theme="1"/>
      <name val="Arial Narrow"/>
      <family val="2"/>
    </font>
  </fonts>
  <fills count="18">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3"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407">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Fill="1" applyAlignment="1">
      <alignment vertical="center"/>
    </xf>
    <xf numFmtId="0" fontId="30" fillId="0" borderId="0" xfId="0" applyFont="1" applyFill="1"/>
    <xf numFmtId="0" fontId="28" fillId="0" borderId="0" xfId="0" applyFont="1"/>
    <xf numFmtId="0" fontId="0" fillId="0" borderId="0" xfId="0" pivotButton="1"/>
    <xf numFmtId="0" fontId="13" fillId="0" borderId="0" xfId="0" applyFont="1" applyBorder="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applyProtection="1"/>
    <xf numFmtId="0" fontId="50" fillId="3" borderId="52" xfId="2" applyFont="1" applyFill="1" applyBorder="1" applyProtection="1"/>
    <xf numFmtId="0" fontId="50" fillId="3" borderId="53" xfId="2" applyFont="1" applyFill="1" applyBorder="1" applyProtection="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Border="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applyProtection="1"/>
    <xf numFmtId="0" fontId="55" fillId="3" borderId="0" xfId="0" applyFont="1" applyFill="1" applyBorder="1" applyAlignment="1" applyProtection="1">
      <alignment horizontal="left" vertical="center" wrapText="1"/>
    </xf>
    <xf numFmtId="0" fontId="56" fillId="3" borderId="0" xfId="0" applyFont="1" applyFill="1" applyBorder="1" applyAlignment="1" applyProtection="1">
      <alignment horizontal="left" vertical="top" wrapText="1"/>
    </xf>
    <xf numFmtId="0" fontId="50" fillId="3" borderId="0" xfId="2" applyFont="1" applyFill="1" applyBorder="1" applyProtection="1"/>
    <xf numFmtId="0" fontId="50" fillId="3" borderId="15" xfId="2" applyFont="1" applyFill="1" applyBorder="1" applyProtection="1"/>
    <xf numFmtId="0" fontId="50" fillId="3" borderId="16" xfId="2" applyFont="1" applyFill="1" applyBorder="1" applyProtection="1"/>
    <xf numFmtId="0" fontId="50" fillId="3" borderId="18" xfId="2" applyFont="1" applyFill="1" applyBorder="1" applyProtection="1"/>
    <xf numFmtId="0" fontId="50" fillId="3" borderId="17" xfId="2" applyFont="1" applyFill="1" applyBorder="1" applyProtection="1"/>
    <xf numFmtId="0" fontId="54" fillId="3" borderId="0" xfId="2" applyFont="1" applyFill="1" applyBorder="1" applyAlignment="1" applyProtection="1">
      <alignment horizontal="left" vertical="center" wrapText="1"/>
    </xf>
    <xf numFmtId="0" fontId="50" fillId="3" borderId="0" xfId="2" applyFont="1" applyFill="1" applyBorder="1" applyAlignment="1" applyProtection="1">
      <alignment horizontal="left" vertical="center" wrapText="1"/>
    </xf>
    <xf numFmtId="0" fontId="50" fillId="3" borderId="0" xfId="2" quotePrefix="1" applyFont="1" applyFill="1" applyBorder="1" applyAlignment="1" applyProtection="1">
      <alignment horizontal="left" vertical="center" wrapText="1"/>
    </xf>
    <xf numFmtId="0" fontId="50" fillId="3" borderId="15" xfId="2" applyFont="1" applyFill="1" applyBorder="1" applyAlignment="1" applyProtection="1"/>
    <xf numFmtId="0" fontId="52" fillId="3" borderId="14" xfId="2" quotePrefix="1" applyFont="1" applyFill="1" applyBorder="1" applyAlignment="1" applyProtection="1">
      <alignment horizontal="left" vertical="top" wrapText="1"/>
    </xf>
    <xf numFmtId="0" fontId="53" fillId="3" borderId="0" xfId="2" quotePrefix="1" applyFont="1" applyFill="1" applyBorder="1" applyAlignment="1" applyProtection="1">
      <alignment horizontal="left" vertical="top" wrapText="1"/>
    </xf>
    <xf numFmtId="0" fontId="53" fillId="3" borderId="15" xfId="2" quotePrefix="1" applyFont="1" applyFill="1" applyBorder="1" applyAlignment="1" applyProtection="1">
      <alignment horizontal="left" vertical="top" wrapText="1"/>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1" fillId="0" borderId="2" xfId="0" applyFont="1" applyBorder="1" applyAlignment="1" applyProtection="1">
      <alignment horizontal="center" vertical="center"/>
      <protection hidden="1"/>
    </xf>
    <xf numFmtId="0" fontId="6"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Fill="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164" fontId="1" fillId="0" borderId="2" xfId="1" applyNumberFormat="1" applyFont="1" applyBorder="1" applyAlignment="1">
      <alignment horizontal="center" vertical="center"/>
    </xf>
    <xf numFmtId="9" fontId="1" fillId="0" borderId="4" xfId="0" applyNumberFormat="1" applyFont="1" applyFill="1" applyBorder="1" applyAlignment="1" applyProtection="1">
      <alignment horizontal="center" vertical="center"/>
      <protection hidden="1"/>
    </xf>
    <xf numFmtId="164" fontId="1" fillId="9" borderId="2" xfId="1" applyNumberFormat="1" applyFont="1" applyFill="1" applyBorder="1" applyAlignment="1">
      <alignment horizontal="center" vertical="center"/>
    </xf>
    <xf numFmtId="0" fontId="1" fillId="3" borderId="2"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justify" vertical="center" wrapText="1"/>
      <protection locked="0"/>
    </xf>
    <xf numFmtId="0" fontId="6" fillId="3" borderId="2" xfId="0" applyFont="1" applyFill="1" applyBorder="1" applyAlignment="1" applyProtection="1">
      <alignment horizontal="justify" vertical="center"/>
      <protection locked="0"/>
    </xf>
    <xf numFmtId="0" fontId="51" fillId="14" borderId="48" xfId="2" applyFont="1" applyFill="1" applyBorder="1" applyAlignment="1" applyProtection="1">
      <alignment horizontal="center" vertical="center" wrapText="1"/>
    </xf>
    <xf numFmtId="0" fontId="51" fillId="14" borderId="49" xfId="2" applyFont="1" applyFill="1" applyBorder="1" applyAlignment="1" applyProtection="1">
      <alignment horizontal="center" vertical="center" wrapText="1"/>
    </xf>
    <xf numFmtId="0" fontId="51" fillId="14" borderId="50" xfId="2" applyFont="1" applyFill="1" applyBorder="1" applyAlignment="1" applyProtection="1">
      <alignment horizontal="center" vertical="center" wrapText="1"/>
    </xf>
    <xf numFmtId="0" fontId="50" fillId="0" borderId="14" xfId="2" quotePrefix="1" applyFont="1" applyBorder="1" applyAlignment="1" applyProtection="1">
      <alignment horizontal="left" vertical="center" wrapText="1"/>
    </xf>
    <xf numFmtId="0" fontId="50" fillId="0" borderId="0" xfId="2" quotePrefix="1" applyFont="1" applyBorder="1" applyAlignment="1" applyProtection="1">
      <alignment horizontal="left" vertical="center" wrapText="1"/>
    </xf>
    <xf numFmtId="0" fontId="50" fillId="0" borderId="15" xfId="2" quotePrefix="1" applyFont="1" applyBorder="1" applyAlignment="1" applyProtection="1">
      <alignment horizontal="left" vertical="center" wrapText="1"/>
    </xf>
    <xf numFmtId="0" fontId="50" fillId="0" borderId="68" xfId="2" quotePrefix="1" applyFont="1" applyBorder="1" applyAlignment="1" applyProtection="1">
      <alignment horizontal="left" vertical="center" wrapText="1"/>
    </xf>
    <xf numFmtId="0" fontId="50" fillId="0" borderId="69" xfId="2" quotePrefix="1" applyFont="1" applyBorder="1" applyAlignment="1" applyProtection="1">
      <alignment horizontal="left" vertical="center" wrapText="1"/>
    </xf>
    <xf numFmtId="0" fontId="50" fillId="0" borderId="70" xfId="2" quotePrefix="1" applyFont="1" applyBorder="1" applyAlignment="1" applyProtection="1">
      <alignment horizontal="left" vertical="center" wrapText="1"/>
    </xf>
    <xf numFmtId="0" fontId="52" fillId="3" borderId="51" xfId="2" quotePrefix="1" applyFont="1" applyFill="1" applyBorder="1" applyAlignment="1" applyProtection="1">
      <alignment horizontal="left" vertical="top" wrapText="1"/>
    </xf>
    <xf numFmtId="0" fontId="53" fillId="3" borderId="52" xfId="2" quotePrefix="1" applyFont="1" applyFill="1" applyBorder="1" applyAlignment="1" applyProtection="1">
      <alignment horizontal="left" vertical="top" wrapText="1"/>
    </xf>
    <xf numFmtId="0" fontId="53" fillId="3" borderId="53" xfId="2" quotePrefix="1" applyFont="1" applyFill="1" applyBorder="1" applyAlignment="1" applyProtection="1">
      <alignment horizontal="left" vertical="top" wrapText="1"/>
    </xf>
    <xf numFmtId="0" fontId="50" fillId="0" borderId="14" xfId="2" quotePrefix="1" applyFont="1" applyBorder="1" applyAlignment="1" applyProtection="1">
      <alignment horizontal="left" vertical="top" wrapText="1"/>
    </xf>
    <xf numFmtId="0" fontId="50" fillId="0" borderId="0" xfId="2" quotePrefix="1" applyFont="1" applyBorder="1" applyAlignment="1" applyProtection="1">
      <alignment horizontal="left" vertical="top" wrapText="1"/>
    </xf>
    <xf numFmtId="0" fontId="50" fillId="0" borderId="15" xfId="2" quotePrefix="1" applyFont="1" applyBorder="1" applyAlignment="1" applyProtection="1">
      <alignment horizontal="left" vertical="top" wrapText="1"/>
    </xf>
    <xf numFmtId="0" fontId="55" fillId="14" borderId="54" xfId="3" applyFont="1" applyFill="1" applyBorder="1" applyAlignment="1" applyProtection="1">
      <alignment horizontal="center" vertical="center" wrapText="1"/>
    </xf>
    <xf numFmtId="0" fontId="55" fillId="14" borderId="55" xfId="3" applyFont="1" applyFill="1" applyBorder="1" applyAlignment="1" applyProtection="1">
      <alignment horizontal="center" vertical="center" wrapText="1"/>
    </xf>
    <xf numFmtId="0" fontId="55" fillId="14" borderId="56" xfId="2" applyFont="1" applyFill="1" applyBorder="1" applyAlignment="1" applyProtection="1">
      <alignment horizontal="center" vertical="center"/>
    </xf>
    <xf numFmtId="0" fontId="55" fillId="14" borderId="57" xfId="2" applyFont="1" applyFill="1" applyBorder="1" applyAlignment="1" applyProtection="1">
      <alignment horizontal="center" vertical="center"/>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0" fontId="2" fillId="3" borderId="70" xfId="2" quotePrefix="1" applyFont="1" applyFill="1" applyBorder="1" applyAlignment="1" applyProtection="1">
      <alignment horizontal="justify" vertical="center" wrapText="1"/>
    </xf>
    <xf numFmtId="0" fontId="55" fillId="3" borderId="58" xfId="3" applyFont="1" applyFill="1" applyBorder="1" applyAlignment="1" applyProtection="1">
      <alignment horizontal="left" vertical="top" wrapText="1" readingOrder="1"/>
    </xf>
    <xf numFmtId="0" fontId="55" fillId="3" borderId="59" xfId="3" applyFont="1" applyFill="1" applyBorder="1" applyAlignment="1" applyProtection="1">
      <alignment horizontal="left" vertical="top" wrapText="1" readingOrder="1"/>
    </xf>
    <xf numFmtId="0" fontId="56" fillId="3" borderId="60" xfId="2" applyFont="1" applyFill="1" applyBorder="1" applyAlignment="1" applyProtection="1">
      <alignment horizontal="justify" vertical="center" wrapText="1"/>
    </xf>
    <xf numFmtId="0" fontId="56" fillId="3" borderId="61" xfId="2" applyFont="1" applyFill="1" applyBorder="1" applyAlignment="1" applyProtection="1">
      <alignment horizontal="justify" vertical="center" wrapText="1"/>
    </xf>
    <xf numFmtId="0" fontId="55" fillId="3" borderId="62" xfId="0" applyFont="1" applyFill="1" applyBorder="1" applyAlignment="1" applyProtection="1">
      <alignment horizontal="left" vertical="center" wrapText="1"/>
    </xf>
    <xf numFmtId="0" fontId="55" fillId="3" borderId="63" xfId="0" applyFont="1" applyFill="1" applyBorder="1" applyAlignment="1" applyProtection="1">
      <alignment horizontal="left" vertical="center" wrapText="1"/>
    </xf>
    <xf numFmtId="0" fontId="56" fillId="3" borderId="64" xfId="2" applyFont="1" applyFill="1" applyBorder="1" applyAlignment="1" applyProtection="1">
      <alignment horizontal="justify" vertical="center" wrapText="1"/>
    </xf>
    <xf numFmtId="0" fontId="56" fillId="3" borderId="65" xfId="2" applyFont="1" applyFill="1" applyBorder="1" applyAlignment="1" applyProtection="1">
      <alignment horizontal="justify" vertical="center" wrapText="1"/>
    </xf>
    <xf numFmtId="0" fontId="50" fillId="3" borderId="14" xfId="2" applyFont="1" applyFill="1" applyBorder="1" applyAlignment="1" applyProtection="1">
      <alignment horizontal="left" vertical="top" wrapText="1"/>
    </xf>
    <xf numFmtId="0" fontId="50" fillId="3" borderId="0" xfId="2" applyFont="1" applyFill="1" applyBorder="1" applyAlignment="1" applyProtection="1">
      <alignment horizontal="left" vertical="top" wrapText="1"/>
    </xf>
    <xf numFmtId="0" fontId="50" fillId="3" borderId="15" xfId="2" applyFont="1" applyFill="1" applyBorder="1" applyAlignment="1" applyProtection="1">
      <alignment horizontal="left" vertical="top" wrapText="1"/>
    </xf>
    <xf numFmtId="0" fontId="55" fillId="3" borderId="71" xfId="0" applyFont="1" applyFill="1" applyBorder="1" applyAlignment="1" applyProtection="1">
      <alignment horizontal="left" vertical="center" wrapText="1"/>
    </xf>
    <xf numFmtId="0" fontId="55" fillId="3" borderId="72" xfId="0" applyFont="1" applyFill="1" applyBorder="1" applyAlignment="1" applyProtection="1">
      <alignment horizontal="left" vertical="center" wrapText="1"/>
    </xf>
    <xf numFmtId="0" fontId="55" fillId="3" borderId="73" xfId="0" applyFont="1" applyFill="1" applyBorder="1" applyAlignment="1" applyProtection="1">
      <alignment horizontal="left" vertical="center" wrapText="1"/>
    </xf>
    <xf numFmtId="0" fontId="55" fillId="3" borderId="74" xfId="0" applyFont="1" applyFill="1" applyBorder="1" applyAlignment="1" applyProtection="1">
      <alignment horizontal="left" vertical="center" wrapText="1"/>
    </xf>
    <xf numFmtId="0" fontId="56" fillId="3" borderId="66" xfId="0" applyFont="1" applyFill="1" applyBorder="1" applyAlignment="1" applyProtection="1">
      <alignment horizontal="justify" vertical="center" wrapText="1"/>
    </xf>
    <xf numFmtId="0" fontId="56" fillId="3" borderId="67" xfId="0" applyFont="1" applyFill="1" applyBorder="1" applyAlignment="1" applyProtection="1">
      <alignment horizontal="justify" vertical="center" wrapText="1"/>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1" fillId="3" borderId="0" xfId="0" applyFont="1" applyFill="1" applyBorder="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Border="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Border="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Border="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Border="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Border="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Border="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Border="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Border="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4" fillId="0" borderId="0"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Border="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Border="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Border="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Border="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1" fillId="0" borderId="4" xfId="0" applyFont="1" applyBorder="1" applyAlignment="1" applyProtection="1">
      <alignment horizontal="center" vertical="center"/>
    </xf>
    <xf numFmtId="0" fontId="1" fillId="0" borderId="4"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4" fillId="0" borderId="4" xfId="0" applyFont="1" applyFill="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center"/>
      <protection hidden="1"/>
    </xf>
    <xf numFmtId="0" fontId="1" fillId="0" borderId="2" xfId="0" applyFont="1" applyBorder="1" applyAlignment="1" applyProtection="1">
      <alignment horizontal="center" vertical="center"/>
    </xf>
    <xf numFmtId="0" fontId="6" fillId="3" borderId="2"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xf>
    <xf numFmtId="0" fontId="1" fillId="0" borderId="4"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4" fillId="0" borderId="4" xfId="0" applyFont="1" applyFill="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center"/>
      <protection hidden="1"/>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protection locked="0"/>
    </xf>
    <xf numFmtId="0" fontId="4" fillId="0" borderId="8" xfId="0" applyFont="1" applyFill="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locked="0"/>
    </xf>
    <xf numFmtId="0" fontId="4" fillId="0" borderId="8" xfId="0" applyFont="1" applyBorder="1" applyAlignment="1" applyProtection="1">
      <alignment horizontal="center" vertical="center"/>
      <protection hidden="1"/>
    </xf>
    <xf numFmtId="0" fontId="53" fillId="0" borderId="4" xfId="0" applyFont="1" applyBorder="1" applyAlignment="1" applyProtection="1">
      <alignment horizontal="center" vertical="center" wrapText="1"/>
      <protection locked="0"/>
    </xf>
    <xf numFmtId="9" fontId="1" fillId="13" borderId="2" xfId="0" applyNumberFormat="1" applyFont="1" applyFill="1" applyBorder="1" applyAlignment="1" applyProtection="1">
      <alignment horizontal="center" vertical="center" wrapText="1"/>
      <protection locked="0"/>
    </xf>
    <xf numFmtId="0" fontId="59" fillId="3" borderId="0" xfId="0" applyFont="1" applyFill="1" applyAlignment="1">
      <alignment vertical="center"/>
    </xf>
    <xf numFmtId="0" fontId="59" fillId="0" borderId="0" xfId="0" applyFont="1" applyAlignment="1">
      <alignment vertical="center"/>
    </xf>
    <xf numFmtId="0" fontId="1" fillId="0" borderId="5" xfId="0" applyFont="1" applyBorder="1" applyAlignment="1" applyProtection="1">
      <alignment horizontal="center" vertical="center" wrapText="1"/>
      <protection locked="0"/>
    </xf>
    <xf numFmtId="9" fontId="1" fillId="13" borderId="4" xfId="0" applyNumberFormat="1" applyFont="1" applyFill="1" applyBorder="1" applyAlignment="1" applyProtection="1">
      <alignment horizontal="center" vertical="center" wrapText="1"/>
      <protection locked="0"/>
    </xf>
    <xf numFmtId="9" fontId="1" fillId="13" borderId="5" xfId="0" applyNumberFormat="1" applyFont="1" applyFill="1" applyBorder="1" applyAlignment="1" applyProtection="1">
      <alignment horizontal="center" vertical="center" wrapText="1"/>
      <protection locked="0"/>
    </xf>
    <xf numFmtId="0" fontId="1" fillId="0" borderId="5" xfId="0" applyFont="1" applyBorder="1" applyAlignment="1" applyProtection="1">
      <alignment horizontal="center" vertical="center"/>
      <protection locked="0"/>
    </xf>
    <xf numFmtId="14" fontId="1" fillId="0" borderId="4" xfId="0" applyNumberFormat="1" applyFont="1" applyBorder="1" applyAlignment="1" applyProtection="1">
      <alignment horizontal="center" vertical="center" wrapText="1"/>
      <protection locked="0"/>
    </xf>
    <xf numFmtId="14" fontId="1" fillId="0" borderId="8" xfId="0" applyNumberFormat="1" applyFont="1" applyBorder="1" applyAlignment="1" applyProtection="1">
      <alignment horizontal="center" vertical="center" wrapText="1"/>
      <protection locked="0"/>
    </xf>
    <xf numFmtId="14" fontId="1" fillId="0" borderId="5" xfId="0" applyNumberFormat="1" applyFont="1" applyBorder="1" applyAlignment="1" applyProtection="1">
      <alignment horizontal="center" vertical="center" wrapText="1"/>
      <protection locked="0"/>
    </xf>
    <xf numFmtId="9" fontId="1" fillId="16" borderId="2" xfId="0" applyNumberFormat="1" applyFont="1" applyFill="1" applyBorder="1" applyAlignment="1" applyProtection="1">
      <alignment horizontal="center" vertical="center" wrapText="1"/>
      <protection locked="0"/>
    </xf>
    <xf numFmtId="0" fontId="1" fillId="0" borderId="10" xfId="0" applyFont="1" applyBorder="1" applyAlignment="1">
      <alignment vertical="center" wrapText="1"/>
    </xf>
    <xf numFmtId="0" fontId="1" fillId="0" borderId="7" xfId="0" applyFont="1" applyBorder="1" applyAlignment="1">
      <alignment vertical="center" wrapText="1"/>
    </xf>
    <xf numFmtId="0" fontId="1"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27" fillId="17" borderId="10" xfId="0" applyFont="1" applyFill="1" applyBorder="1" applyAlignment="1">
      <alignment horizontal="center" vertical="center" wrapText="1"/>
    </xf>
    <xf numFmtId="9" fontId="27" fillId="17" borderId="10" xfId="0" applyNumberFormat="1" applyFont="1" applyFill="1" applyBorder="1" applyAlignment="1">
      <alignment horizontal="center" vertical="center" wrapText="1"/>
    </xf>
  </cellXfs>
  <cellStyles count="5">
    <cellStyle name="Normal" xfId="0" builtinId="0"/>
    <cellStyle name="Normal - Style1 2" xfId="2"/>
    <cellStyle name="Normal 2" xfId="4"/>
    <cellStyle name="Normal 2 2" xfId="3"/>
    <cellStyle name="Porcentaje" xfId="1" builtinId="5"/>
  </cellStyles>
  <dxfs count="133">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132" dataDxfId="131">
  <autoFilter ref="B209:C219"/>
  <tableColumns count="2">
    <tableColumn id="1" name="Criterios" dataDxfId="130"/>
    <tableColumn id="2" name="Subcriterios" dataDxfId="129"/>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topLeftCell="A16" zoomScale="110" zoomScaleNormal="110" workbookViewId="0">
      <selection activeCell="C36" sqref="C36:D36"/>
    </sheetView>
  </sheetViews>
  <sheetFormatPr baseColWidth="10" defaultColWidth="11.3828125" defaultRowHeight="14.6" x14ac:dyDescent="0.4"/>
  <cols>
    <col min="1" max="1" width="2.84375" style="80" customWidth="1"/>
    <col min="2" max="3" width="24.69140625" style="80" customWidth="1"/>
    <col min="4" max="4" width="16" style="80" customWidth="1"/>
    <col min="5" max="5" width="24.69140625" style="80" customWidth="1"/>
    <col min="6" max="6" width="27.69140625" style="80" customWidth="1"/>
    <col min="7" max="8" width="24.69140625" style="80" customWidth="1"/>
    <col min="9" max="16384" width="11.3828125" style="80"/>
  </cols>
  <sheetData>
    <row r="1" spans="2:8" ht="15" thickBot="1" x14ac:dyDescent="0.45"/>
    <row r="2" spans="2:8" ht="18" x14ac:dyDescent="0.4">
      <c r="B2" s="140" t="s">
        <v>165</v>
      </c>
      <c r="C2" s="141"/>
      <c r="D2" s="141"/>
      <c r="E2" s="141"/>
      <c r="F2" s="141"/>
      <c r="G2" s="141"/>
      <c r="H2" s="142"/>
    </row>
    <row r="3" spans="2:8" x14ac:dyDescent="0.4">
      <c r="B3" s="81"/>
      <c r="C3" s="82"/>
      <c r="D3" s="82"/>
      <c r="E3" s="82"/>
      <c r="F3" s="82"/>
      <c r="G3" s="82"/>
      <c r="H3" s="83"/>
    </row>
    <row r="4" spans="2:8" ht="63" customHeight="1" x14ac:dyDescent="0.4">
      <c r="B4" s="143" t="s">
        <v>208</v>
      </c>
      <c r="C4" s="144"/>
      <c r="D4" s="144"/>
      <c r="E4" s="144"/>
      <c r="F4" s="144"/>
      <c r="G4" s="144"/>
      <c r="H4" s="145"/>
    </row>
    <row r="5" spans="2:8" ht="63" customHeight="1" x14ac:dyDescent="0.4">
      <c r="B5" s="146"/>
      <c r="C5" s="147"/>
      <c r="D5" s="147"/>
      <c r="E5" s="147"/>
      <c r="F5" s="147"/>
      <c r="G5" s="147"/>
      <c r="H5" s="148"/>
    </row>
    <row r="6" spans="2:8" x14ac:dyDescent="0.4">
      <c r="B6" s="149" t="s">
        <v>163</v>
      </c>
      <c r="C6" s="150"/>
      <c r="D6" s="150"/>
      <c r="E6" s="150"/>
      <c r="F6" s="150"/>
      <c r="G6" s="150"/>
      <c r="H6" s="151"/>
    </row>
    <row r="7" spans="2:8" ht="95.25" customHeight="1" x14ac:dyDescent="0.4">
      <c r="B7" s="159" t="s">
        <v>168</v>
      </c>
      <c r="C7" s="160"/>
      <c r="D7" s="160"/>
      <c r="E7" s="160"/>
      <c r="F7" s="160"/>
      <c r="G7" s="160"/>
      <c r="H7" s="161"/>
    </row>
    <row r="8" spans="2:8" x14ac:dyDescent="0.4">
      <c r="B8" s="118"/>
      <c r="C8" s="119"/>
      <c r="D8" s="119"/>
      <c r="E8" s="119"/>
      <c r="F8" s="119"/>
      <c r="G8" s="119"/>
      <c r="H8" s="120"/>
    </row>
    <row r="9" spans="2:8" ht="16.5" customHeight="1" x14ac:dyDescent="0.4">
      <c r="B9" s="152" t="s">
        <v>201</v>
      </c>
      <c r="C9" s="153"/>
      <c r="D9" s="153"/>
      <c r="E9" s="153"/>
      <c r="F9" s="153"/>
      <c r="G9" s="153"/>
      <c r="H9" s="154"/>
    </row>
    <row r="10" spans="2:8" ht="44.25" customHeight="1" x14ac:dyDescent="0.4">
      <c r="B10" s="152"/>
      <c r="C10" s="153"/>
      <c r="D10" s="153"/>
      <c r="E10" s="153"/>
      <c r="F10" s="153"/>
      <c r="G10" s="153"/>
      <c r="H10" s="154"/>
    </row>
    <row r="11" spans="2:8" ht="15" thickBot="1" x14ac:dyDescent="0.45">
      <c r="B11" s="106"/>
      <c r="C11" s="109"/>
      <c r="D11" s="114"/>
      <c r="E11" s="115"/>
      <c r="F11" s="115"/>
      <c r="G11" s="116"/>
      <c r="H11" s="117"/>
    </row>
    <row r="12" spans="2:8" ht="15" thickTop="1" x14ac:dyDescent="0.4">
      <c r="B12" s="106"/>
      <c r="C12" s="155" t="s">
        <v>164</v>
      </c>
      <c r="D12" s="156"/>
      <c r="E12" s="157" t="s">
        <v>202</v>
      </c>
      <c r="F12" s="158"/>
      <c r="G12" s="109"/>
      <c r="H12" s="110"/>
    </row>
    <row r="13" spans="2:8" ht="35.25" customHeight="1" x14ac:dyDescent="0.4">
      <c r="B13" s="106"/>
      <c r="C13" s="162" t="s">
        <v>195</v>
      </c>
      <c r="D13" s="163"/>
      <c r="E13" s="164" t="s">
        <v>200</v>
      </c>
      <c r="F13" s="165"/>
      <c r="G13" s="109"/>
      <c r="H13" s="110"/>
    </row>
    <row r="14" spans="2:8" ht="17.25" customHeight="1" x14ac:dyDescent="0.4">
      <c r="B14" s="106"/>
      <c r="C14" s="162" t="s">
        <v>196</v>
      </c>
      <c r="D14" s="163"/>
      <c r="E14" s="164" t="s">
        <v>198</v>
      </c>
      <c r="F14" s="165"/>
      <c r="G14" s="109"/>
      <c r="H14" s="110"/>
    </row>
    <row r="15" spans="2:8" ht="19.5" customHeight="1" x14ac:dyDescent="0.4">
      <c r="B15" s="106"/>
      <c r="C15" s="162" t="s">
        <v>197</v>
      </c>
      <c r="D15" s="163"/>
      <c r="E15" s="164" t="s">
        <v>199</v>
      </c>
      <c r="F15" s="165"/>
      <c r="G15" s="109"/>
      <c r="H15" s="110"/>
    </row>
    <row r="16" spans="2:8" ht="69.75" customHeight="1" x14ac:dyDescent="0.4">
      <c r="B16" s="106"/>
      <c r="C16" s="162" t="s">
        <v>166</v>
      </c>
      <c r="D16" s="163"/>
      <c r="E16" s="164" t="s">
        <v>167</v>
      </c>
      <c r="F16" s="165"/>
      <c r="G16" s="109"/>
      <c r="H16" s="110"/>
    </row>
    <row r="17" spans="2:8" ht="34.5" customHeight="1" x14ac:dyDescent="0.4">
      <c r="B17" s="106"/>
      <c r="C17" s="166" t="s">
        <v>2</v>
      </c>
      <c r="D17" s="167"/>
      <c r="E17" s="168" t="s">
        <v>209</v>
      </c>
      <c r="F17" s="169"/>
      <c r="G17" s="109"/>
      <c r="H17" s="110"/>
    </row>
    <row r="18" spans="2:8" ht="27.75" customHeight="1" x14ac:dyDescent="0.4">
      <c r="B18" s="106"/>
      <c r="C18" s="166" t="s">
        <v>3</v>
      </c>
      <c r="D18" s="167"/>
      <c r="E18" s="168" t="s">
        <v>210</v>
      </c>
      <c r="F18" s="169"/>
      <c r="G18" s="109"/>
      <c r="H18" s="110"/>
    </row>
    <row r="19" spans="2:8" ht="28.5" customHeight="1" x14ac:dyDescent="0.4">
      <c r="B19" s="106"/>
      <c r="C19" s="166" t="s">
        <v>41</v>
      </c>
      <c r="D19" s="167"/>
      <c r="E19" s="168" t="s">
        <v>211</v>
      </c>
      <c r="F19" s="169"/>
      <c r="G19" s="109"/>
      <c r="H19" s="110"/>
    </row>
    <row r="20" spans="2:8" ht="72.75" customHeight="1" x14ac:dyDescent="0.4">
      <c r="B20" s="106"/>
      <c r="C20" s="166" t="s">
        <v>1</v>
      </c>
      <c r="D20" s="167"/>
      <c r="E20" s="168" t="s">
        <v>212</v>
      </c>
      <c r="F20" s="169"/>
      <c r="G20" s="109"/>
      <c r="H20" s="110"/>
    </row>
    <row r="21" spans="2:8" ht="64.5" customHeight="1" x14ac:dyDescent="0.4">
      <c r="B21" s="106"/>
      <c r="C21" s="166" t="s">
        <v>49</v>
      </c>
      <c r="D21" s="167"/>
      <c r="E21" s="168" t="s">
        <v>170</v>
      </c>
      <c r="F21" s="169"/>
      <c r="G21" s="109"/>
      <c r="H21" s="110"/>
    </row>
    <row r="22" spans="2:8" ht="71.25" customHeight="1" x14ac:dyDescent="0.4">
      <c r="B22" s="106"/>
      <c r="C22" s="166" t="s">
        <v>169</v>
      </c>
      <c r="D22" s="167"/>
      <c r="E22" s="168" t="s">
        <v>171</v>
      </c>
      <c r="F22" s="169"/>
      <c r="G22" s="109"/>
      <c r="H22" s="110"/>
    </row>
    <row r="23" spans="2:8" ht="55.5" customHeight="1" x14ac:dyDescent="0.4">
      <c r="B23" s="106"/>
      <c r="C23" s="173" t="s">
        <v>172</v>
      </c>
      <c r="D23" s="174"/>
      <c r="E23" s="168" t="s">
        <v>173</v>
      </c>
      <c r="F23" s="169"/>
      <c r="G23" s="109"/>
      <c r="H23" s="110"/>
    </row>
    <row r="24" spans="2:8" ht="42" customHeight="1" x14ac:dyDescent="0.4">
      <c r="B24" s="106"/>
      <c r="C24" s="173" t="s">
        <v>47</v>
      </c>
      <c r="D24" s="174"/>
      <c r="E24" s="168" t="s">
        <v>174</v>
      </c>
      <c r="F24" s="169"/>
      <c r="G24" s="109"/>
      <c r="H24" s="110"/>
    </row>
    <row r="25" spans="2:8" ht="59.25" customHeight="1" x14ac:dyDescent="0.4">
      <c r="B25" s="106"/>
      <c r="C25" s="173" t="s">
        <v>162</v>
      </c>
      <c r="D25" s="174"/>
      <c r="E25" s="168" t="s">
        <v>175</v>
      </c>
      <c r="F25" s="169"/>
      <c r="G25" s="109"/>
      <c r="H25" s="110"/>
    </row>
    <row r="26" spans="2:8" ht="23.25" customHeight="1" x14ac:dyDescent="0.4">
      <c r="B26" s="106"/>
      <c r="C26" s="173" t="s">
        <v>12</v>
      </c>
      <c r="D26" s="174"/>
      <c r="E26" s="168" t="s">
        <v>176</v>
      </c>
      <c r="F26" s="169"/>
      <c r="G26" s="109"/>
      <c r="H26" s="110"/>
    </row>
    <row r="27" spans="2:8" ht="30.75" customHeight="1" x14ac:dyDescent="0.4">
      <c r="B27" s="106"/>
      <c r="C27" s="173" t="s">
        <v>180</v>
      </c>
      <c r="D27" s="174"/>
      <c r="E27" s="168" t="s">
        <v>177</v>
      </c>
      <c r="F27" s="169"/>
      <c r="G27" s="109"/>
      <c r="H27" s="110"/>
    </row>
    <row r="28" spans="2:8" ht="35.25" customHeight="1" x14ac:dyDescent="0.4">
      <c r="B28" s="106"/>
      <c r="C28" s="173" t="s">
        <v>181</v>
      </c>
      <c r="D28" s="174"/>
      <c r="E28" s="168" t="s">
        <v>178</v>
      </c>
      <c r="F28" s="169"/>
      <c r="G28" s="109"/>
      <c r="H28" s="110"/>
    </row>
    <row r="29" spans="2:8" ht="33" customHeight="1" x14ac:dyDescent="0.4">
      <c r="B29" s="106"/>
      <c r="C29" s="173" t="s">
        <v>181</v>
      </c>
      <c r="D29" s="174"/>
      <c r="E29" s="168" t="s">
        <v>178</v>
      </c>
      <c r="F29" s="169"/>
      <c r="G29" s="109"/>
      <c r="H29" s="110"/>
    </row>
    <row r="30" spans="2:8" ht="30" customHeight="1" x14ac:dyDescent="0.4">
      <c r="B30" s="106"/>
      <c r="C30" s="173" t="s">
        <v>182</v>
      </c>
      <c r="D30" s="174"/>
      <c r="E30" s="168" t="s">
        <v>179</v>
      </c>
      <c r="F30" s="169"/>
      <c r="G30" s="109"/>
      <c r="H30" s="110"/>
    </row>
    <row r="31" spans="2:8" ht="35.25" customHeight="1" x14ac:dyDescent="0.4">
      <c r="B31" s="106"/>
      <c r="C31" s="173" t="s">
        <v>183</v>
      </c>
      <c r="D31" s="174"/>
      <c r="E31" s="168" t="s">
        <v>184</v>
      </c>
      <c r="F31" s="169"/>
      <c r="G31" s="109"/>
      <c r="H31" s="110"/>
    </row>
    <row r="32" spans="2:8" ht="31.5" customHeight="1" x14ac:dyDescent="0.4">
      <c r="B32" s="106"/>
      <c r="C32" s="173" t="s">
        <v>185</v>
      </c>
      <c r="D32" s="174"/>
      <c r="E32" s="168" t="s">
        <v>186</v>
      </c>
      <c r="F32" s="169"/>
      <c r="G32" s="109"/>
      <c r="H32" s="110"/>
    </row>
    <row r="33" spans="2:8" ht="35.25" customHeight="1" x14ac:dyDescent="0.4">
      <c r="B33" s="106"/>
      <c r="C33" s="173" t="s">
        <v>187</v>
      </c>
      <c r="D33" s="174"/>
      <c r="E33" s="168" t="s">
        <v>188</v>
      </c>
      <c r="F33" s="169"/>
      <c r="G33" s="109"/>
      <c r="H33" s="110"/>
    </row>
    <row r="34" spans="2:8" ht="59.25" customHeight="1" x14ac:dyDescent="0.4">
      <c r="B34" s="106"/>
      <c r="C34" s="173" t="s">
        <v>189</v>
      </c>
      <c r="D34" s="174"/>
      <c r="E34" s="168" t="s">
        <v>190</v>
      </c>
      <c r="F34" s="169"/>
      <c r="G34" s="109"/>
      <c r="H34" s="110"/>
    </row>
    <row r="35" spans="2:8" ht="29.25" customHeight="1" x14ac:dyDescent="0.4">
      <c r="B35" s="106"/>
      <c r="C35" s="173" t="s">
        <v>29</v>
      </c>
      <c r="D35" s="174"/>
      <c r="E35" s="168" t="s">
        <v>191</v>
      </c>
      <c r="F35" s="169"/>
      <c r="G35" s="109"/>
      <c r="H35" s="110"/>
    </row>
    <row r="36" spans="2:8" ht="82.5" customHeight="1" x14ac:dyDescent="0.4">
      <c r="B36" s="106"/>
      <c r="C36" s="173" t="s">
        <v>193</v>
      </c>
      <c r="D36" s="174"/>
      <c r="E36" s="168" t="s">
        <v>192</v>
      </c>
      <c r="F36" s="169"/>
      <c r="G36" s="109"/>
      <c r="H36" s="110"/>
    </row>
    <row r="37" spans="2:8" ht="46.5" customHeight="1" x14ac:dyDescent="0.4">
      <c r="B37" s="106"/>
      <c r="C37" s="173" t="s">
        <v>38</v>
      </c>
      <c r="D37" s="174"/>
      <c r="E37" s="168" t="s">
        <v>194</v>
      </c>
      <c r="F37" s="169"/>
      <c r="G37" s="109"/>
      <c r="H37" s="110"/>
    </row>
    <row r="38" spans="2:8" ht="6.75" customHeight="1" thickBot="1" x14ac:dyDescent="0.45">
      <c r="B38" s="106"/>
      <c r="C38" s="175"/>
      <c r="D38" s="176"/>
      <c r="E38" s="177"/>
      <c r="F38" s="178"/>
      <c r="G38" s="109"/>
      <c r="H38" s="110"/>
    </row>
    <row r="39" spans="2:8" ht="15" thickTop="1" x14ac:dyDescent="0.4">
      <c r="B39" s="106"/>
      <c r="C39" s="107"/>
      <c r="D39" s="107"/>
      <c r="E39" s="108"/>
      <c r="F39" s="108"/>
      <c r="G39" s="109"/>
      <c r="H39" s="110"/>
    </row>
    <row r="40" spans="2:8" ht="21" customHeight="1" x14ac:dyDescent="0.4">
      <c r="B40" s="170" t="s">
        <v>203</v>
      </c>
      <c r="C40" s="171"/>
      <c r="D40" s="171"/>
      <c r="E40" s="171"/>
      <c r="F40" s="171"/>
      <c r="G40" s="171"/>
      <c r="H40" s="172"/>
    </row>
    <row r="41" spans="2:8" ht="20.25" customHeight="1" x14ac:dyDescent="0.4">
      <c r="B41" s="170" t="s">
        <v>204</v>
      </c>
      <c r="C41" s="171"/>
      <c r="D41" s="171"/>
      <c r="E41" s="171"/>
      <c r="F41" s="171"/>
      <c r="G41" s="171"/>
      <c r="H41" s="172"/>
    </row>
    <row r="42" spans="2:8" ht="20.25" customHeight="1" x14ac:dyDescent="0.4">
      <c r="B42" s="170" t="s">
        <v>205</v>
      </c>
      <c r="C42" s="171"/>
      <c r="D42" s="171"/>
      <c r="E42" s="171"/>
      <c r="F42" s="171"/>
      <c r="G42" s="171"/>
      <c r="H42" s="172"/>
    </row>
    <row r="43" spans="2:8" ht="20.25" customHeight="1" x14ac:dyDescent="0.4">
      <c r="B43" s="170" t="s">
        <v>206</v>
      </c>
      <c r="C43" s="171"/>
      <c r="D43" s="171"/>
      <c r="E43" s="171"/>
      <c r="F43" s="171"/>
      <c r="G43" s="171"/>
      <c r="H43" s="172"/>
    </row>
    <row r="44" spans="2:8" x14ac:dyDescent="0.4">
      <c r="B44" s="170" t="s">
        <v>207</v>
      </c>
      <c r="C44" s="171"/>
      <c r="D44" s="171"/>
      <c r="E44" s="171"/>
      <c r="F44" s="171"/>
      <c r="G44" s="171"/>
      <c r="H44" s="172"/>
    </row>
    <row r="45" spans="2:8" ht="15" thickBot="1" x14ac:dyDescent="0.45">
      <c r="B45" s="111"/>
      <c r="C45" s="112"/>
      <c r="D45" s="112"/>
      <c r="E45" s="112"/>
      <c r="F45" s="112"/>
      <c r="G45" s="112"/>
      <c r="H45" s="113"/>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Q27"/>
  <sheetViews>
    <sheetView tabSelected="1" topLeftCell="A7" zoomScale="50" zoomScaleNormal="50" workbookViewId="0">
      <pane xSplit="5" ySplit="3" topLeftCell="Y24" activePane="bottomRight" state="frozen"/>
      <selection activeCell="A7" sqref="A7"/>
      <selection pane="topRight" activeCell="F7" sqref="F7"/>
      <selection pane="bottomLeft" activeCell="A10" sqref="A10"/>
      <selection pane="bottomRight" activeCell="AJ26" sqref="AJ26"/>
    </sheetView>
  </sheetViews>
  <sheetFormatPr baseColWidth="10" defaultColWidth="11.3828125" defaultRowHeight="14.15" x14ac:dyDescent="0.4"/>
  <cols>
    <col min="1" max="1" width="4" style="1" bestFit="1" customWidth="1"/>
    <col min="2" max="2" width="14.15234375" style="1" customWidth="1"/>
    <col min="3" max="3" width="19.15234375" style="1" customWidth="1"/>
    <col min="4" max="4" width="22.3828125" style="1" customWidth="1"/>
    <col min="5" max="5" width="32.3828125" style="2" customWidth="1"/>
    <col min="6" max="6" width="19" style="1" customWidth="1"/>
    <col min="7" max="7" width="17.84375" style="2" customWidth="1"/>
    <col min="8" max="8" width="16.53515625" style="2" customWidth="1"/>
    <col min="9" max="9" width="6.3046875" style="2" bestFit="1" customWidth="1"/>
    <col min="10" max="10" width="27.3046875" style="2" bestFit="1" customWidth="1"/>
    <col min="11" max="11" width="30.53515625" style="2" hidden="1" customWidth="1"/>
    <col min="12" max="12" width="17.53515625" style="2" customWidth="1"/>
    <col min="13" max="13" width="6.3046875" style="2" bestFit="1" customWidth="1"/>
    <col min="14" max="14" width="16" style="2" customWidth="1"/>
    <col min="15" max="15" width="5.84375" style="2" customWidth="1"/>
    <col min="16" max="16" width="31" style="2" customWidth="1"/>
    <col min="17" max="17" width="15.15234375" style="2" bestFit="1" customWidth="1"/>
    <col min="18" max="18" width="6.84375" style="2" customWidth="1"/>
    <col min="19" max="19" width="5" style="2" customWidth="1"/>
    <col min="20" max="20" width="5.53515625" style="2" customWidth="1"/>
    <col min="21" max="21" width="7.15234375" style="2" customWidth="1"/>
    <col min="22" max="22" width="6.69140625" style="2" customWidth="1"/>
    <col min="23" max="23" width="7.53515625" style="2" customWidth="1"/>
    <col min="24" max="24" width="38.3046875" style="2" hidden="1" customWidth="1"/>
    <col min="25" max="25" width="8.69140625" style="2" customWidth="1"/>
    <col min="26" max="26" width="10.3828125" style="2" customWidth="1"/>
    <col min="27" max="27" width="9.3046875" style="2" customWidth="1"/>
    <col min="28" max="28" width="9.15234375" style="2" customWidth="1"/>
    <col min="29" max="29" width="8.3828125" style="2" customWidth="1"/>
    <col min="30" max="30" width="7.3046875" style="2" customWidth="1"/>
    <col min="31" max="31" width="23" style="2" customWidth="1"/>
    <col min="32" max="32" width="15.3046875" style="2" customWidth="1"/>
    <col min="33" max="33" width="16.84375" style="2" customWidth="1"/>
    <col min="34" max="34" width="16.15234375" style="392" customWidth="1"/>
    <col min="35" max="35" width="33.921875" style="2" customWidth="1"/>
    <col min="36" max="36" width="11" style="2" customWidth="1"/>
    <col min="37" max="37" width="12.84375" style="2" customWidth="1"/>
    <col min="38" max="16384" width="11.3828125" style="2"/>
  </cols>
  <sheetData>
    <row r="1" spans="1:69" ht="16.5" customHeight="1" x14ac:dyDescent="0.4">
      <c r="A1" s="202" t="s">
        <v>143</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4"/>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row>
    <row r="2" spans="1:69" ht="24" customHeight="1" x14ac:dyDescent="0.4">
      <c r="A2" s="205"/>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7"/>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row>
    <row r="3" spans="1:69" x14ac:dyDescent="0.4">
      <c r="A3" s="24"/>
      <c r="B3" s="25"/>
      <c r="C3" s="24"/>
      <c r="D3" s="24"/>
      <c r="E3" s="23"/>
      <c r="F3" s="24"/>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391"/>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row>
    <row r="4" spans="1:69" ht="26.25" customHeight="1" x14ac:dyDescent="0.4">
      <c r="A4" s="188" t="s">
        <v>42</v>
      </c>
      <c r="B4" s="189"/>
      <c r="C4" s="195" t="s">
        <v>230</v>
      </c>
      <c r="D4" s="196"/>
      <c r="E4" s="196"/>
      <c r="F4" s="196"/>
      <c r="G4" s="196"/>
      <c r="H4" s="196"/>
      <c r="I4" s="196"/>
      <c r="J4" s="196"/>
      <c r="K4" s="196"/>
      <c r="L4" s="196"/>
      <c r="M4" s="196"/>
      <c r="N4" s="197"/>
      <c r="O4" s="201"/>
      <c r="P4" s="201"/>
      <c r="Q4" s="201"/>
      <c r="R4" s="23"/>
      <c r="S4" s="23"/>
      <c r="T4" s="23"/>
      <c r="U4" s="23"/>
      <c r="V4" s="23"/>
      <c r="W4" s="23"/>
      <c r="X4" s="23"/>
      <c r="Y4" s="23"/>
      <c r="Z4" s="23"/>
      <c r="AA4" s="23"/>
      <c r="AB4" s="23"/>
      <c r="AC4" s="23"/>
      <c r="AD4" s="23"/>
      <c r="AE4" s="23"/>
      <c r="AF4" s="23"/>
      <c r="AG4" s="23"/>
      <c r="AH4" s="391"/>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row>
    <row r="5" spans="1:69" ht="30" customHeight="1" x14ac:dyDescent="0.4">
      <c r="A5" s="188" t="s">
        <v>129</v>
      </c>
      <c r="B5" s="189"/>
      <c r="C5" s="195" t="s">
        <v>231</v>
      </c>
      <c r="D5" s="196"/>
      <c r="E5" s="196"/>
      <c r="F5" s="196"/>
      <c r="G5" s="196"/>
      <c r="H5" s="196"/>
      <c r="I5" s="196"/>
      <c r="J5" s="196"/>
      <c r="K5" s="196"/>
      <c r="L5" s="196"/>
      <c r="M5" s="196"/>
      <c r="N5" s="197"/>
      <c r="O5" s="23"/>
      <c r="P5" s="23"/>
      <c r="Q5" s="23"/>
      <c r="R5" s="23"/>
      <c r="S5" s="23"/>
      <c r="T5" s="23"/>
      <c r="U5" s="23"/>
      <c r="V5" s="23"/>
      <c r="W5" s="23"/>
      <c r="X5" s="23"/>
      <c r="Y5" s="23"/>
      <c r="Z5" s="23"/>
      <c r="AA5" s="23"/>
      <c r="AB5" s="23"/>
      <c r="AC5" s="23"/>
      <c r="AD5" s="23"/>
      <c r="AE5" s="23"/>
      <c r="AF5" s="23"/>
      <c r="AG5" s="23"/>
      <c r="AH5" s="391"/>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row>
    <row r="6" spans="1:69" ht="49.5" customHeight="1" x14ac:dyDescent="0.4">
      <c r="A6" s="188" t="s">
        <v>43</v>
      </c>
      <c r="B6" s="189"/>
      <c r="C6" s="198" t="s">
        <v>232</v>
      </c>
      <c r="D6" s="199"/>
      <c r="E6" s="199"/>
      <c r="F6" s="199"/>
      <c r="G6" s="199"/>
      <c r="H6" s="199"/>
      <c r="I6" s="199"/>
      <c r="J6" s="199"/>
      <c r="K6" s="199"/>
      <c r="L6" s="199"/>
      <c r="M6" s="199"/>
      <c r="N6" s="200"/>
      <c r="O6" s="23"/>
      <c r="P6" s="23"/>
      <c r="Q6" s="23"/>
      <c r="R6" s="23"/>
      <c r="S6" s="23"/>
      <c r="T6" s="23"/>
      <c r="U6" s="23"/>
      <c r="V6" s="23"/>
      <c r="W6" s="23"/>
      <c r="X6" s="23"/>
      <c r="Y6" s="23"/>
      <c r="Z6" s="23"/>
      <c r="AA6" s="23"/>
      <c r="AB6" s="23"/>
      <c r="AC6" s="23"/>
      <c r="AD6" s="23"/>
      <c r="AE6" s="23"/>
      <c r="AF6" s="23"/>
      <c r="AG6" s="23"/>
      <c r="AH6" s="391"/>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row>
    <row r="7" spans="1:69" x14ac:dyDescent="0.4">
      <c r="A7" s="208" t="s">
        <v>138</v>
      </c>
      <c r="B7" s="209"/>
      <c r="C7" s="209"/>
      <c r="D7" s="209"/>
      <c r="E7" s="209"/>
      <c r="F7" s="209"/>
      <c r="G7" s="210"/>
      <c r="H7" s="208" t="s">
        <v>139</v>
      </c>
      <c r="I7" s="209"/>
      <c r="J7" s="209"/>
      <c r="K7" s="209"/>
      <c r="L7" s="209"/>
      <c r="M7" s="209"/>
      <c r="N7" s="210"/>
      <c r="O7" s="208" t="s">
        <v>140</v>
      </c>
      <c r="P7" s="209"/>
      <c r="Q7" s="209"/>
      <c r="R7" s="209"/>
      <c r="S7" s="209"/>
      <c r="T7" s="209"/>
      <c r="U7" s="209"/>
      <c r="V7" s="209"/>
      <c r="W7" s="210"/>
      <c r="X7" s="208" t="s">
        <v>141</v>
      </c>
      <c r="Y7" s="209"/>
      <c r="Z7" s="209"/>
      <c r="AA7" s="209"/>
      <c r="AB7" s="209"/>
      <c r="AC7" s="209"/>
      <c r="AD7" s="210"/>
      <c r="AE7" s="208" t="s">
        <v>34</v>
      </c>
      <c r="AF7" s="209"/>
      <c r="AG7" s="209"/>
      <c r="AH7" s="209"/>
      <c r="AI7" s="209"/>
      <c r="AJ7" s="209"/>
      <c r="AK7" s="210"/>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row>
    <row r="8" spans="1:69" ht="16.5" customHeight="1" x14ac:dyDescent="0.4">
      <c r="A8" s="190" t="s">
        <v>0</v>
      </c>
      <c r="B8" s="186" t="s">
        <v>2</v>
      </c>
      <c r="C8" s="180" t="s">
        <v>3</v>
      </c>
      <c r="D8" s="180" t="s">
        <v>41</v>
      </c>
      <c r="E8" s="192" t="s">
        <v>1</v>
      </c>
      <c r="F8" s="187" t="s">
        <v>49</v>
      </c>
      <c r="G8" s="180" t="s">
        <v>134</v>
      </c>
      <c r="H8" s="182" t="s">
        <v>33</v>
      </c>
      <c r="I8" s="183" t="s">
        <v>5</v>
      </c>
      <c r="J8" s="187" t="s">
        <v>86</v>
      </c>
      <c r="K8" s="187" t="s">
        <v>91</v>
      </c>
      <c r="L8" s="185" t="s">
        <v>44</v>
      </c>
      <c r="M8" s="183" t="s">
        <v>5</v>
      </c>
      <c r="N8" s="180" t="s">
        <v>47</v>
      </c>
      <c r="O8" s="193" t="s">
        <v>11</v>
      </c>
      <c r="P8" s="181" t="s">
        <v>162</v>
      </c>
      <c r="Q8" s="187" t="s">
        <v>12</v>
      </c>
      <c r="R8" s="181" t="s">
        <v>8</v>
      </c>
      <c r="S8" s="181"/>
      <c r="T8" s="181"/>
      <c r="U8" s="181"/>
      <c r="V8" s="181"/>
      <c r="W8" s="181"/>
      <c r="X8" s="179" t="s">
        <v>137</v>
      </c>
      <c r="Y8" s="179" t="s">
        <v>45</v>
      </c>
      <c r="Z8" s="179" t="s">
        <v>5</v>
      </c>
      <c r="AA8" s="179" t="s">
        <v>46</v>
      </c>
      <c r="AB8" s="179" t="s">
        <v>5</v>
      </c>
      <c r="AC8" s="179" t="s">
        <v>48</v>
      </c>
      <c r="AD8" s="193" t="s">
        <v>29</v>
      </c>
      <c r="AE8" s="181" t="s">
        <v>34</v>
      </c>
      <c r="AF8" s="181" t="s">
        <v>35</v>
      </c>
      <c r="AG8" s="181" t="s">
        <v>36</v>
      </c>
      <c r="AH8" s="181" t="s">
        <v>37</v>
      </c>
      <c r="AI8" s="181" t="s">
        <v>288</v>
      </c>
      <c r="AJ8" s="187" t="s">
        <v>289</v>
      </c>
      <c r="AK8" s="181" t="s">
        <v>38</v>
      </c>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row>
    <row r="9" spans="1:69" s="3" customFormat="1" ht="94.5" customHeight="1" x14ac:dyDescent="0.4">
      <c r="A9" s="191"/>
      <c r="B9" s="186"/>
      <c r="C9" s="181"/>
      <c r="D9" s="181"/>
      <c r="E9" s="186"/>
      <c r="F9" s="180"/>
      <c r="G9" s="181"/>
      <c r="H9" s="180"/>
      <c r="I9" s="184"/>
      <c r="J9" s="180"/>
      <c r="K9" s="180"/>
      <c r="L9" s="184"/>
      <c r="M9" s="184"/>
      <c r="N9" s="181"/>
      <c r="O9" s="194"/>
      <c r="P9" s="181"/>
      <c r="Q9" s="180"/>
      <c r="R9" s="5" t="s">
        <v>13</v>
      </c>
      <c r="S9" s="5" t="s">
        <v>17</v>
      </c>
      <c r="T9" s="5" t="s">
        <v>28</v>
      </c>
      <c r="U9" s="5" t="s">
        <v>18</v>
      </c>
      <c r="V9" s="5" t="s">
        <v>21</v>
      </c>
      <c r="W9" s="5" t="s">
        <v>24</v>
      </c>
      <c r="X9" s="179"/>
      <c r="Y9" s="179"/>
      <c r="Z9" s="179"/>
      <c r="AA9" s="179"/>
      <c r="AB9" s="179"/>
      <c r="AC9" s="179"/>
      <c r="AD9" s="194"/>
      <c r="AE9" s="181"/>
      <c r="AF9" s="181"/>
      <c r="AG9" s="181"/>
      <c r="AH9" s="181"/>
      <c r="AI9" s="181"/>
      <c r="AJ9" s="180"/>
      <c r="AK9" s="181"/>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row>
    <row r="10" spans="1:69" s="1" customFormat="1" ht="216.75" customHeight="1" x14ac:dyDescent="0.4">
      <c r="A10" s="363">
        <v>1</v>
      </c>
      <c r="B10" s="364" t="s">
        <v>133</v>
      </c>
      <c r="C10" s="364" t="s">
        <v>286</v>
      </c>
      <c r="D10" s="364" t="s">
        <v>287</v>
      </c>
      <c r="E10" s="365" t="s">
        <v>285</v>
      </c>
      <c r="F10" s="364" t="s">
        <v>122</v>
      </c>
      <c r="G10" s="366">
        <v>30</v>
      </c>
      <c r="H10" s="367" t="str">
        <f>IF(G10&lt;=0,"",IF(G10&lt;=2,"Muy Baja",IF(G10&lt;=24,"Baja",IF(G10&lt;=500,"Media",IF(G10&lt;=5000,"Alta","Muy Alta")))))</f>
        <v>Media</v>
      </c>
      <c r="I10" s="368">
        <f>IF(H10="","",IF(H10="Muy Baja",0.2,IF(H10="Baja",0.4,IF(H10="Media",0.6,IF(H10="Alta",0.8,IF(H10="Muy Alta",1,))))))</f>
        <v>0.6</v>
      </c>
      <c r="J10" s="369" t="s">
        <v>150</v>
      </c>
      <c r="K10" s="368" t="str">
        <f ca="1">IF(NOT(ISERROR(MATCH(J10,'Tabla Impacto'!$B$221:$B$223,0))),'Tabla Impacto'!$F$223&amp;"Por favor no seleccionar los criterios de impacto(Afectación Económica o presupuestal y Pérdida Reputacional)",J10)</f>
        <v xml:space="preserve">     Entre 100 y 500 SMLMV </v>
      </c>
      <c r="L10" s="367" t="str">
        <f ca="1">IF(OR(K10='Tabla Impacto'!$C$11,K10='Tabla Impacto'!$D$11),"Leve",IF(OR(K10='Tabla Impacto'!$C$12,K10='Tabla Impacto'!$D$12),"Menor",IF(OR(K10='Tabla Impacto'!$C$13,K10='Tabla Impacto'!$D$13),"Moderado",IF(OR(K10='Tabla Impacto'!$C$14,K10='Tabla Impacto'!$D$14),"Mayor",IF(OR(K10='Tabla Impacto'!$C$15,K10='Tabla Impacto'!$D$15),"Catastrófico","")))))</f>
        <v>Mayor</v>
      </c>
      <c r="M10" s="368">
        <f ca="1">IF(L10="","",IF(L10="Leve",0.2,IF(L10="Menor",0.4,IF(L10="Moderado",0.6,IF(L10="Mayor",0.8,IF(L10="Catastrófico",1,))))))</f>
        <v>0.8</v>
      </c>
      <c r="N10" s="370"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Alto</v>
      </c>
      <c r="O10" s="371">
        <v>1</v>
      </c>
      <c r="P10" s="372" t="s">
        <v>215</v>
      </c>
      <c r="Q10" s="126" t="str">
        <f>IF(OR(R10="Preventivo",R10="Detectivo"),"Probabilidad",IF(R10="Correctivo","Impacto",""))</f>
        <v>Impacto</v>
      </c>
      <c r="R10" s="128" t="s">
        <v>16</v>
      </c>
      <c r="S10" s="128" t="s">
        <v>9</v>
      </c>
      <c r="T10" s="129" t="str">
        <f>IF(AND(R10="Preventivo",S10="Automático"),"50%",IF(AND(R10="Preventivo",S10="Manual"),"40%",IF(AND(R10="Detectivo",S10="Automático"),"40%",IF(AND(R10="Detectivo",S10="Manual"),"30%",IF(AND(R10="Correctivo",S10="Automático"),"35%",IF(AND(R10="Correctivo",S10="Manual"),"25%",""))))))</f>
        <v>25%</v>
      </c>
      <c r="U10" s="128" t="s">
        <v>19</v>
      </c>
      <c r="V10" s="128" t="s">
        <v>22</v>
      </c>
      <c r="W10" s="128" t="s">
        <v>118</v>
      </c>
      <c r="X10" s="134">
        <f>IFERROR(IF(Q10="Probabilidad",(I10-(+I10*T10)),IF(Q10="Impacto",I10,"")),"")</f>
        <v>0.6</v>
      </c>
      <c r="Y10" s="130" t="str">
        <f>IFERROR(IF(X10="","",IF(X10&lt;=0.2,"Muy Baja",IF(X10&lt;=0.4,"Baja",IF(X10&lt;=0.6,"Media",IF(X10&lt;=0.8,"Alta","Muy Alta"))))),"")</f>
        <v>Media</v>
      </c>
      <c r="Z10" s="131">
        <f>+X10</f>
        <v>0.6</v>
      </c>
      <c r="AA10" s="130" t="str">
        <f ca="1">IFERROR(IF(AB10="","",IF(AB10&lt;=0.2,"Leve",IF(AB10&lt;=0.4,"Menor",IF(AB10&lt;=0.6,"Moderado",IF(AB10&lt;=0.8,"Mayor","Catastrófico"))))),"")</f>
        <v>Moderado</v>
      </c>
      <c r="AB10" s="131">
        <f ca="1">IFERROR(IF(Q10="Impacto",(M10-(+M10*T10)),IF(Q10="Probabilidad",M10,"")),"")</f>
        <v>0.60000000000000009</v>
      </c>
      <c r="AC10" s="132" t="str">
        <f ca="1">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3" t="s">
        <v>135</v>
      </c>
      <c r="AE10" s="123" t="s">
        <v>216</v>
      </c>
      <c r="AF10" s="123" t="s">
        <v>266</v>
      </c>
      <c r="AG10" s="122" t="s">
        <v>213</v>
      </c>
      <c r="AH10" s="397" t="s">
        <v>214</v>
      </c>
      <c r="AI10" s="123" t="s">
        <v>290</v>
      </c>
      <c r="AJ10" s="390">
        <v>0.66</v>
      </c>
      <c r="AK10" s="121" t="s">
        <v>40</v>
      </c>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row>
    <row r="11" spans="1:69" ht="216.45" customHeight="1" x14ac:dyDescent="0.4">
      <c r="A11" s="373">
        <v>2</v>
      </c>
      <c r="B11" s="374" t="s">
        <v>133</v>
      </c>
      <c r="C11" s="374" t="s">
        <v>227</v>
      </c>
      <c r="D11" s="374" t="s">
        <v>224</v>
      </c>
      <c r="E11" s="375" t="s">
        <v>275</v>
      </c>
      <c r="F11" s="374" t="s">
        <v>122</v>
      </c>
      <c r="G11" s="376">
        <v>165</v>
      </c>
      <c r="H11" s="377" t="str">
        <f>IF(G11&lt;=0,"",IF(G11&lt;=2,"Muy Baja",IF(G11&lt;=24,"Baja",IF(G11&lt;=500,"Media",IF(G11&lt;=5000,"Alta","Muy Alta")))))</f>
        <v>Media</v>
      </c>
      <c r="I11" s="378">
        <f>IF(H11="","",IF(H11="Muy Baja",0.2,IF(H11="Baja",0.4,IF(H11="Media",0.6,IF(H11="Alta",0.8,IF(H11="Muy Alta",1,))))))</f>
        <v>0.6</v>
      </c>
      <c r="J11" s="379" t="s">
        <v>150</v>
      </c>
      <c r="K11" s="378" t="str">
        <f ca="1">IF(NOT(ISERROR(MATCH(J11,'Tabla Impacto'!$B$221:$B$223,0))),'Tabla Impacto'!$F$223&amp;"Por favor no seleccionar los criterios de impacto(Afectación Económica o presupuestal y Pérdida Reputacional)",J11)</f>
        <v xml:space="preserve">     Entre 100 y 500 SMLMV </v>
      </c>
      <c r="L11" s="377" t="str">
        <f ca="1">IF(OR(K11='Tabla Impacto'!$C$11,K11='Tabla Impacto'!$D$11),"Leve",IF(OR(K11='Tabla Impacto'!$C$12,K11='Tabla Impacto'!$D$12),"Menor",IF(OR(K11='Tabla Impacto'!$C$13,K11='Tabla Impacto'!$D$13),"Moderado",IF(OR(K11='Tabla Impacto'!$C$14,K11='Tabla Impacto'!$D$14),"Mayor",IF(OR(K11='Tabla Impacto'!$C$15,K11='Tabla Impacto'!$D$15),"Catastrófico","")))))</f>
        <v>Mayor</v>
      </c>
      <c r="M11" s="378">
        <f ca="1">IF(L11="","",IF(L11="Leve",0.2,IF(L11="Menor",0.4,IF(L11="Moderado",0.6,IF(L11="Mayor",0.8,IF(L11="Catastrófico",1,))))))</f>
        <v>0.8</v>
      </c>
      <c r="N11" s="380" t="str">
        <f ca="1">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Alto</v>
      </c>
      <c r="O11" s="371">
        <v>1</v>
      </c>
      <c r="P11" s="124" t="s">
        <v>217</v>
      </c>
      <c r="Q11" s="126" t="str">
        <f>IF(OR(R11="Preventivo",R11="Detectivo"),"Probabilidad",IF(R11="Correctivo","Impacto",""))</f>
        <v>Probabilidad</v>
      </c>
      <c r="R11" s="128" t="s">
        <v>14</v>
      </c>
      <c r="S11" s="128" t="s">
        <v>9</v>
      </c>
      <c r="T11" s="129" t="str">
        <f>IF(AND(R11="Preventivo",S11="Automático"),"50%",IF(AND(R11="Preventivo",S11="Manual"),"40%",IF(AND(R11="Detectivo",S11="Automático"),"40%",IF(AND(R11="Detectivo",S11="Manual"),"30%",IF(AND(R11="Correctivo",S11="Automático"),"35%",IF(AND(R11="Correctivo",S11="Manual"),"25%",""))))))</f>
        <v>40%</v>
      </c>
      <c r="U11" s="128" t="s">
        <v>19</v>
      </c>
      <c r="V11" s="128" t="s">
        <v>23</v>
      </c>
      <c r="W11" s="128" t="s">
        <v>118</v>
      </c>
      <c r="X11" s="134">
        <f>IFERROR(IF(Q11="Probabilidad",(I11-(+I11*T11)),IF(Q11="Impacto",I11,"")),"")</f>
        <v>0.36</v>
      </c>
      <c r="Y11" s="130" t="str">
        <f>IFERROR(IF(X11="","",IF(X11&lt;=0.2,"Muy Baja",IF(X11&lt;=0.4,"Baja",IF(X11&lt;=0.6,"Media",IF(X11&lt;=0.8,"Alta","Muy Alta"))))),"")</f>
        <v>Baja</v>
      </c>
      <c r="Z11" s="131">
        <f>+X11</f>
        <v>0.36</v>
      </c>
      <c r="AA11" s="130" t="str">
        <f ca="1">IFERROR(IF(AB11="","",IF(AB11&lt;=0.2,"Leve",IF(AB11&lt;=0.4,"Menor",IF(AB11&lt;=0.6,"Moderado",IF(AB11&lt;=0.8,"Mayor","Catastrófico"))))),"")</f>
        <v>Mayor</v>
      </c>
      <c r="AB11" s="135">
        <f ca="1">IFERROR(IF(Q11="Impacto",(M11-(+M11*T11)),IF(Q11="Probabilidad",M11,"")),"")</f>
        <v>0.8</v>
      </c>
      <c r="AC11" s="132" t="str">
        <f ca="1">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Alto</v>
      </c>
      <c r="AD11" s="133" t="s">
        <v>135</v>
      </c>
      <c r="AE11" s="374" t="s">
        <v>273</v>
      </c>
      <c r="AF11" s="374" t="s">
        <v>218</v>
      </c>
      <c r="AG11" s="374" t="s">
        <v>213</v>
      </c>
      <c r="AH11" s="398"/>
      <c r="AI11" s="374" t="s">
        <v>291</v>
      </c>
      <c r="AJ11" s="394">
        <v>0.66</v>
      </c>
      <c r="AK11" s="376" t="s">
        <v>40</v>
      </c>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row>
    <row r="12" spans="1:69" ht="171.75" customHeight="1" x14ac:dyDescent="0.4">
      <c r="A12" s="381"/>
      <c r="B12" s="382"/>
      <c r="C12" s="382"/>
      <c r="D12" s="382"/>
      <c r="E12" s="383"/>
      <c r="F12" s="382"/>
      <c r="G12" s="384"/>
      <c r="H12" s="385"/>
      <c r="I12" s="386"/>
      <c r="J12" s="387"/>
      <c r="K12" s="386">
        <f ca="1">IF(NOT(ISERROR(MATCH(J12,_xlfn.ANCHORARRAY(E17),0))),#REF!&amp;"Por favor no seleccionar los criterios de impacto",J12)</f>
        <v>0</v>
      </c>
      <c r="L12" s="385"/>
      <c r="M12" s="386"/>
      <c r="N12" s="388"/>
      <c r="O12" s="371">
        <v>2</v>
      </c>
      <c r="P12" s="124" t="s">
        <v>274</v>
      </c>
      <c r="Q12" s="126" t="str">
        <f>IF(OR(R12="Preventivo",R12="Detectivo"),"Probabilidad",IF(R12="Correctivo","Impacto",""))</f>
        <v>Probabilidad</v>
      </c>
      <c r="R12" s="128" t="s">
        <v>14</v>
      </c>
      <c r="S12" s="128" t="s">
        <v>9</v>
      </c>
      <c r="T12" s="129" t="str">
        <f t="shared" ref="T12:T14" si="0">IF(AND(R12="Preventivo",S12="Automático"),"50%",IF(AND(R12="Preventivo",S12="Manual"),"40%",IF(AND(R12="Detectivo",S12="Automático"),"40%",IF(AND(R12="Detectivo",S12="Manual"),"30%",IF(AND(R12="Correctivo",S12="Automático"),"35%",IF(AND(R12="Correctivo",S12="Manual"),"25%",""))))))</f>
        <v>40%</v>
      </c>
      <c r="U12" s="128" t="s">
        <v>19</v>
      </c>
      <c r="V12" s="128" t="s">
        <v>23</v>
      </c>
      <c r="W12" s="128" t="s">
        <v>118</v>
      </c>
      <c r="X12" s="134">
        <f>IFERROR(IF(AND(Q11="Probabilidad",Q12="Probabilidad"),(Z11-(+Z11*T12)),IF(Q12="Probabilidad",(I11-(+I11*T12)),IF(Q12="Impacto",Z11,""))),"")</f>
        <v>0.216</v>
      </c>
      <c r="Y12" s="130" t="str">
        <f t="shared" ref="Y12:Y23" si="1">IFERROR(IF(X12="","",IF(X12&lt;=0.2,"Muy Baja",IF(X12&lt;=0.4,"Baja",IF(X12&lt;=0.6,"Media",IF(X12&lt;=0.8,"Alta","Muy Alta"))))),"")</f>
        <v>Baja</v>
      </c>
      <c r="Z12" s="131">
        <f t="shared" ref="Z12:Z14" si="2">+X12</f>
        <v>0.216</v>
      </c>
      <c r="AA12" s="130" t="str">
        <f t="shared" ref="AA12:AA23" ca="1" si="3">IFERROR(IF(AB12="","",IF(AB12&lt;=0.2,"Leve",IF(AB12&lt;=0.4,"Menor",IF(AB12&lt;=0.6,"Moderado",IF(AB12&lt;=0.8,"Mayor","Catastrófico"))))),"")</f>
        <v>Mayor</v>
      </c>
      <c r="AB12" s="135">
        <f ca="1">IFERROR(IF(AND(Q11="Impacto",Q12="Impacto"),(AB11-(+AB11*T12)),IF(Q12="Impacto",(M11-(+M11*T12)),IF(Q12="Probabilidad",AB11,""))),"")</f>
        <v>0.8</v>
      </c>
      <c r="AC12" s="132" t="str">
        <f t="shared" ref="AC12:AC13" ca="1" si="4">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Alto</v>
      </c>
      <c r="AD12" s="133" t="s">
        <v>135</v>
      </c>
      <c r="AE12" s="393"/>
      <c r="AF12" s="393"/>
      <c r="AG12" s="393"/>
      <c r="AH12" s="398"/>
      <c r="AI12" s="393"/>
      <c r="AJ12" s="395"/>
      <c r="AK12" s="396"/>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row>
    <row r="13" spans="1:69" ht="217.3" customHeight="1" x14ac:dyDescent="0.4">
      <c r="A13" s="381"/>
      <c r="B13" s="382"/>
      <c r="C13" s="382"/>
      <c r="D13" s="382"/>
      <c r="E13" s="383"/>
      <c r="F13" s="382"/>
      <c r="G13" s="384"/>
      <c r="H13" s="385"/>
      <c r="I13" s="386"/>
      <c r="J13" s="387"/>
      <c r="K13" s="386">
        <f ca="1">IF(NOT(ISERROR(MATCH(J13,_xlfn.ANCHORARRAY(#REF!),0))),#REF!&amp;"Por favor no seleccionar los criterios de impacto",J13)</f>
        <v>0</v>
      </c>
      <c r="L13" s="385"/>
      <c r="M13" s="386"/>
      <c r="N13" s="388"/>
      <c r="O13" s="371">
        <v>3</v>
      </c>
      <c r="P13" s="125" t="s">
        <v>220</v>
      </c>
      <c r="Q13" s="126" t="str">
        <f>IF(OR(R13="Preventivo",R13="Detectivo"),"Probabilidad",IF(R13="Correctivo","Impacto",""))</f>
        <v>Probabilidad</v>
      </c>
      <c r="R13" s="128" t="s">
        <v>14</v>
      </c>
      <c r="S13" s="128" t="s">
        <v>9</v>
      </c>
      <c r="T13" s="129" t="str">
        <f t="shared" si="0"/>
        <v>40%</v>
      </c>
      <c r="U13" s="128" t="s">
        <v>19</v>
      </c>
      <c r="V13" s="128" t="s">
        <v>23</v>
      </c>
      <c r="W13" s="128" t="s">
        <v>118</v>
      </c>
      <c r="X13" s="134">
        <f>IFERROR(IF(AND(Q12="Probabilidad",Q13="Probabilidad"),(Z12-(+Z12*T13)),IF(AND(Q12="Impacto",Q13="Probabilidad"),(Z11-(+Z11*T13)),IF(Q13="Impacto",Z12,""))),"")</f>
        <v>0.12959999999999999</v>
      </c>
      <c r="Y13" s="130" t="str">
        <f t="shared" si="1"/>
        <v>Muy Baja</v>
      </c>
      <c r="Z13" s="131">
        <f t="shared" si="2"/>
        <v>0.12959999999999999</v>
      </c>
      <c r="AA13" s="130" t="str">
        <f t="shared" ca="1" si="3"/>
        <v>Mayor</v>
      </c>
      <c r="AB13" s="135">
        <f ca="1">IFERROR(IF(AND(Q12="Impacto",Q13="Impacto"),(AB12-(+AB12*T13)),IF(AND(Q12="Probabilidad",Q13="Impacto"),(AB11-(+AB11*T13)),IF(Q13="Probabilidad",AB12,""))),"")</f>
        <v>0.8</v>
      </c>
      <c r="AC13" s="132" t="str">
        <f t="shared" ca="1" si="4"/>
        <v>Alto</v>
      </c>
      <c r="AD13" s="133" t="s">
        <v>135</v>
      </c>
      <c r="AE13" s="123" t="s">
        <v>267</v>
      </c>
      <c r="AF13" s="123" t="s">
        <v>268</v>
      </c>
      <c r="AG13" s="122" t="s">
        <v>219</v>
      </c>
      <c r="AH13" s="398"/>
      <c r="AI13" s="123" t="s">
        <v>269</v>
      </c>
      <c r="AJ13" s="390">
        <v>0.66</v>
      </c>
      <c r="AK13" s="121" t="s">
        <v>40</v>
      </c>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row>
    <row r="14" spans="1:69" ht="151.5" customHeight="1" x14ac:dyDescent="0.4">
      <c r="A14" s="381"/>
      <c r="B14" s="382"/>
      <c r="C14" s="382"/>
      <c r="D14" s="382"/>
      <c r="E14" s="383"/>
      <c r="F14" s="382"/>
      <c r="G14" s="384"/>
      <c r="H14" s="385"/>
      <c r="I14" s="386"/>
      <c r="J14" s="387"/>
      <c r="K14" s="386">
        <f ca="1">IF(NOT(ISERROR(MATCH(J14,_xlfn.ANCHORARRAY(#REF!),0))),#REF!&amp;"Por favor no seleccionar los criterios de impacto",J14)</f>
        <v>0</v>
      </c>
      <c r="L14" s="385"/>
      <c r="M14" s="386"/>
      <c r="N14" s="388"/>
      <c r="O14" s="371">
        <v>4</v>
      </c>
      <c r="P14" s="124" t="s">
        <v>223</v>
      </c>
      <c r="Q14" s="126" t="str">
        <f t="shared" ref="Q14" si="5">IF(OR(R14="Preventivo",R14="Detectivo"),"Probabilidad",IF(R14="Correctivo","Impacto",""))</f>
        <v>Probabilidad</v>
      </c>
      <c r="R14" s="128" t="s">
        <v>14</v>
      </c>
      <c r="S14" s="128" t="s">
        <v>9</v>
      </c>
      <c r="T14" s="129" t="str">
        <f t="shared" si="0"/>
        <v>40%</v>
      </c>
      <c r="U14" s="128" t="s">
        <v>19</v>
      </c>
      <c r="V14" s="128" t="s">
        <v>23</v>
      </c>
      <c r="W14" s="128" t="s">
        <v>118</v>
      </c>
      <c r="X14" s="134">
        <f t="shared" ref="X14" si="6">IFERROR(IF(AND(Q13="Probabilidad",Q14="Probabilidad"),(Z13-(+Z13*T14)),IF(AND(Q13="Impacto",Q14="Probabilidad"),(Z12-(+Z12*T14)),IF(Q14="Impacto",Z13,""))),"")</f>
        <v>7.7759999999999996E-2</v>
      </c>
      <c r="Y14" s="130" t="str">
        <f t="shared" si="1"/>
        <v>Muy Baja</v>
      </c>
      <c r="Z14" s="131">
        <f t="shared" si="2"/>
        <v>7.7759999999999996E-2</v>
      </c>
      <c r="AA14" s="130" t="str">
        <f t="shared" ca="1" si="3"/>
        <v>Mayor</v>
      </c>
      <c r="AB14" s="135">
        <f t="shared" ref="AB14" ca="1" si="7">IFERROR(IF(AND(Q13="Impacto",Q14="Impacto"),(AB13-(+AB13*T14)),IF(AND(Q13="Probabilidad",Q14="Impacto"),(AB12-(+AB12*T14)),IF(Q14="Probabilidad",AB13,""))),"")</f>
        <v>0.8</v>
      </c>
      <c r="AC14" s="132" t="str">
        <f ca="1">IFERROR(IF(OR(AND(Y14="Muy Baja",AA14="Leve"),AND(Y14="Muy Baja",AA14="Menor"),AND(Y14="Baja",AA14="Leve")),"Bajo",IF(OR(AND(Y14="Muy baja",AA14="Moderado"),AND(Y14="Baja",AA14="Menor"),AND(Y14="Baja",AA14="Moderado"),AND(Y14="Media",AA14="Leve"),AND(Y14="Media",AA14="Menor"),AND(Y14="Media",AA14="Moderado"),AND(Y14="Alta",AA14="Leve"),AND(Y14="Alta",AA14="Menor")),"Moderado",IF(OR(AND(Y14="Muy Baja",AA14="Mayor"),AND(Y14="Baja",AA14="Mayor"),AND(Y14="Media",AA14="Mayor"),AND(Y14="Alta",AA14="Moderado"),AND(Y14="Alta",AA14="Mayor"),AND(Y14="Muy Alta",AA14="Leve"),AND(Y14="Muy Alta",AA14="Menor"),AND(Y14="Muy Alta",AA14="Moderado"),AND(Y14="Muy Alta",AA14="Mayor")),"Alto",IF(OR(AND(Y14="Muy Baja",AA14="Catastrófico"),AND(Y14="Baja",AA14="Catastrófico"),AND(Y14="Media",AA14="Catastrófico"),AND(Y14="Alta",AA14="Catastrófico"),AND(Y14="Muy Alta",AA14="Catastrófico")),"Extremo","")))),"")</f>
        <v>Alto</v>
      </c>
      <c r="AD14" s="133" t="s">
        <v>135</v>
      </c>
      <c r="AE14" s="123" t="s">
        <v>276</v>
      </c>
      <c r="AF14" s="123" t="s">
        <v>222</v>
      </c>
      <c r="AG14" s="122" t="s">
        <v>213</v>
      </c>
      <c r="AH14" s="398"/>
      <c r="AI14" s="137" t="s">
        <v>292</v>
      </c>
      <c r="AJ14" s="390">
        <v>0.66</v>
      </c>
      <c r="AK14" s="121" t="s">
        <v>40</v>
      </c>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row>
    <row r="15" spans="1:69" ht="238.5" customHeight="1" x14ac:dyDescent="0.4">
      <c r="A15" s="373">
        <v>3</v>
      </c>
      <c r="B15" s="374" t="s">
        <v>133</v>
      </c>
      <c r="C15" s="374" t="s">
        <v>238</v>
      </c>
      <c r="D15" s="374" t="s">
        <v>229</v>
      </c>
      <c r="E15" s="375" t="s">
        <v>277</v>
      </c>
      <c r="F15" s="374" t="s">
        <v>122</v>
      </c>
      <c r="G15" s="376">
        <v>240</v>
      </c>
      <c r="H15" s="377" t="str">
        <f>IF(G15&lt;=0,"",IF(G15&lt;=2,"Muy Baja",IF(G15&lt;=24,"Baja",IF(G15&lt;=500,"Media",IF(G15&lt;=5000,"Alta","Muy Alta")))))</f>
        <v>Media</v>
      </c>
      <c r="I15" s="378">
        <f>IF(H15="","",IF(H15="Muy Baja",0.2,IF(H15="Baja",0.4,IF(H15="Media",0.6,IF(H15="Alta",0.8,IF(H15="Muy Alta",1,))))))</f>
        <v>0.6</v>
      </c>
      <c r="J15" s="379" t="s">
        <v>154</v>
      </c>
      <c r="K15" s="378" t="str">
        <f ca="1">IF(NOT(ISERROR(MATCH(J15,'Tabla Impacto'!$B$221:$B$223,0))),'Tabla Impacto'!$F$223&amp;"Por favor no seleccionar los criterios de impacto(Afectación Económica o presupuestal y Pérdida Reputacional)",J15)</f>
        <v xml:space="preserve">     El riesgo afecta la imagen de la entidad con algunos usuarios de relevancia frente al logro de los objetivos</v>
      </c>
      <c r="L15" s="377" t="str">
        <f ca="1">IF(OR(K15='Tabla Impacto'!$C$11,K15='Tabla Impacto'!$D$11),"Leve",IF(OR(K15='Tabla Impacto'!$C$12,K15='Tabla Impacto'!$D$12),"Menor",IF(OR(K15='Tabla Impacto'!$C$13,K15='Tabla Impacto'!$D$13),"Moderado",IF(OR(K15='Tabla Impacto'!$C$14,K15='Tabla Impacto'!$D$14),"Mayor",IF(OR(K15='Tabla Impacto'!$C$15,K15='Tabla Impacto'!$D$15),"Catastrófico","")))))</f>
        <v>Moderado</v>
      </c>
      <c r="M15" s="378">
        <f ca="1">IF(L15="","",IF(L15="Leve",0.2,IF(L15="Menor",0.4,IF(L15="Moderado",0.6,IF(L15="Mayor",0.8,IF(L15="Catastrófico",1,))))))</f>
        <v>0.6</v>
      </c>
      <c r="N15" s="380" t="str">
        <f ca="1">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Moderado</v>
      </c>
      <c r="O15" s="371">
        <v>1</v>
      </c>
      <c r="P15" s="138" t="s">
        <v>228</v>
      </c>
      <c r="Q15" s="126" t="str">
        <f>IF(OR(R15="Preventivo",R15="Detectivo"),"Probabilidad",IF(R15="Correctivo","Impacto",""))</f>
        <v>Probabilidad</v>
      </c>
      <c r="R15" s="128" t="s">
        <v>14</v>
      </c>
      <c r="S15" s="128" t="s">
        <v>9</v>
      </c>
      <c r="T15" s="129" t="str">
        <f>IF(AND(R15="Preventivo",S15="Automático"),"50%",IF(AND(R15="Preventivo",S15="Manual"),"40%",IF(AND(R15="Detectivo",S15="Automático"),"40%",IF(AND(R15="Detectivo",S15="Manual"),"30%",IF(AND(R15="Correctivo",S15="Automático"),"35%",IF(AND(R15="Correctivo",S15="Manual"),"25%",""))))))</f>
        <v>40%</v>
      </c>
      <c r="U15" s="128" t="s">
        <v>19</v>
      </c>
      <c r="V15" s="128" t="s">
        <v>23</v>
      </c>
      <c r="W15" s="128" t="s">
        <v>118</v>
      </c>
      <c r="X15" s="134">
        <f>IFERROR(IF(Q15="Probabilidad",(I15-(+I15*T15)),IF(Q15="Impacto",I15,"")),"")</f>
        <v>0.36</v>
      </c>
      <c r="Y15" s="130" t="str">
        <f>IFERROR(IF(X15="","",IF(X15&lt;=0.2,"Muy Baja",IF(X15&lt;=0.4,"Baja",IF(X15&lt;=0.6,"Media",IF(X15&lt;=0.8,"Alta","Muy Alta"))))),"")</f>
        <v>Baja</v>
      </c>
      <c r="Z15" s="131">
        <f>+X15</f>
        <v>0.36</v>
      </c>
      <c r="AA15" s="130" t="str">
        <f ca="1">IFERROR(IF(AB15="","",IF(AB15&lt;=0.2,"Leve",IF(AB15&lt;=0.4,"Menor",IF(AB15&lt;=0.6,"Moderado",IF(AB15&lt;=0.8,"Mayor","Catastrófico"))))),"")</f>
        <v>Moderado</v>
      </c>
      <c r="AB15" s="135">
        <f ca="1">IFERROR(IF(Q15="Impacto",(M15-(+M15*T15)),IF(Q15="Probabilidad",M15,"")),"")</f>
        <v>0.6</v>
      </c>
      <c r="AC15" s="132" t="str">
        <f ca="1">IFERROR(IF(OR(AND(Y15="Muy Baja",AA15="Leve"),AND(Y15="Muy Baja",AA15="Menor"),AND(Y15="Baja",AA15="Leve")),"Bajo",IF(OR(AND(Y15="Muy baja",AA15="Moderado"),AND(Y15="Baja",AA15="Menor"),AND(Y15="Baja",AA15="Moderado"),AND(Y15="Media",AA15="Leve"),AND(Y15="Media",AA15="Menor"),AND(Y15="Media",AA15="Moderado"),AND(Y15="Alta",AA15="Leve"),AND(Y15="Alta",AA15="Menor")),"Moderado",IF(OR(AND(Y15="Muy Baja",AA15="Mayor"),AND(Y15="Baja",AA15="Mayor"),AND(Y15="Media",AA15="Mayor"),AND(Y15="Alta",AA15="Moderado"),AND(Y15="Alta",AA15="Mayor"),AND(Y15="Muy Alta",AA15="Leve"),AND(Y15="Muy Alta",AA15="Menor"),AND(Y15="Muy Alta",AA15="Moderado"),AND(Y15="Muy Alta",AA15="Mayor")),"Alto",IF(OR(AND(Y15="Muy Baja",AA15="Catastrófico"),AND(Y15="Baja",AA15="Catastrófico"),AND(Y15="Media",AA15="Catastrófico"),AND(Y15="Alta",AA15="Catastrófico"),AND(Y15="Muy Alta",AA15="Catastrófico")),"Extremo","")))),"")</f>
        <v>Moderado</v>
      </c>
      <c r="AD15" s="133" t="s">
        <v>135</v>
      </c>
      <c r="AE15" s="123" t="s">
        <v>226</v>
      </c>
      <c r="AF15" s="137" t="s">
        <v>282</v>
      </c>
      <c r="AG15" s="122" t="s">
        <v>213</v>
      </c>
      <c r="AH15" s="398"/>
      <c r="AI15" s="137" t="s">
        <v>293</v>
      </c>
      <c r="AJ15" s="390">
        <v>0.66</v>
      </c>
      <c r="AK15" s="121" t="s">
        <v>40</v>
      </c>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row>
    <row r="16" spans="1:69" ht="409.6" customHeight="1" x14ac:dyDescent="0.4">
      <c r="A16" s="381"/>
      <c r="B16" s="382"/>
      <c r="C16" s="382"/>
      <c r="D16" s="382"/>
      <c r="E16" s="383"/>
      <c r="F16" s="382"/>
      <c r="G16" s="384"/>
      <c r="H16" s="385"/>
      <c r="I16" s="386"/>
      <c r="J16" s="387"/>
      <c r="K16" s="386">
        <f ca="1">IF(NOT(ISERROR(MATCH(J16,_xlfn.ANCHORARRAY(E18),0))),#REF!&amp;"Por favor no seleccionar los criterios de impacto",J16)</f>
        <v>0</v>
      </c>
      <c r="L16" s="385"/>
      <c r="M16" s="386"/>
      <c r="N16" s="388"/>
      <c r="O16" s="371">
        <v>2</v>
      </c>
      <c r="P16" s="127" t="s">
        <v>278</v>
      </c>
      <c r="Q16" s="126" t="str">
        <f>IF(OR(R16="Preventivo",R16="Detectivo"),"Probabilidad",IF(R16="Correctivo","Impacto",""))</f>
        <v>Probabilidad</v>
      </c>
      <c r="R16" s="128" t="s">
        <v>14</v>
      </c>
      <c r="S16" s="128" t="s">
        <v>9</v>
      </c>
      <c r="T16" s="129" t="str">
        <f t="shared" ref="T16" si="8">IF(AND(R16="Preventivo",S16="Automático"),"50%",IF(AND(R16="Preventivo",S16="Manual"),"40%",IF(AND(R16="Detectivo",S16="Automático"),"40%",IF(AND(R16="Detectivo",S16="Manual"),"30%",IF(AND(R16="Correctivo",S16="Automático"),"35%",IF(AND(R16="Correctivo",S16="Manual"),"25%",""))))))</f>
        <v>40%</v>
      </c>
      <c r="U16" s="128" t="s">
        <v>19</v>
      </c>
      <c r="V16" s="128" t="s">
        <v>23</v>
      </c>
      <c r="W16" s="128" t="s">
        <v>118</v>
      </c>
      <c r="X16" s="136">
        <f>IFERROR(IF(AND(Q15="Probabilidad",Q16="Probabilidad"),(Z15-(+Z15*T16)),IF(Q16="Probabilidad",(I15-(+I15*T16)),IF(Q16="Impacto",Z15,""))),"")</f>
        <v>0.216</v>
      </c>
      <c r="Y16" s="130" t="str">
        <f t="shared" si="1"/>
        <v>Baja</v>
      </c>
      <c r="Z16" s="131">
        <f t="shared" ref="Z16" si="9">+X16</f>
        <v>0.216</v>
      </c>
      <c r="AA16" s="130" t="str">
        <f t="shared" ca="1" si="3"/>
        <v>Moderado</v>
      </c>
      <c r="AB16" s="135">
        <f ca="1">IFERROR(IF(AND(Q15="Impacto",Q16="Impacto"),(AB15-(+AB15*T16)),IF(Q16="Impacto",(M15-(+M15*T16)),IF(Q16="Probabilidad",AB15,""))),"")</f>
        <v>0.6</v>
      </c>
      <c r="AC16" s="132" t="str">
        <f t="shared" ref="AC16" ca="1" si="10">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Moderado</v>
      </c>
      <c r="AD16" s="133"/>
      <c r="AE16" s="123" t="s">
        <v>239</v>
      </c>
      <c r="AF16" s="123" t="s">
        <v>225</v>
      </c>
      <c r="AG16" s="122" t="s">
        <v>213</v>
      </c>
      <c r="AH16" s="398"/>
      <c r="AI16" s="137" t="s">
        <v>294</v>
      </c>
      <c r="AJ16" s="390">
        <v>0.66</v>
      </c>
      <c r="AK16" s="121" t="s">
        <v>40</v>
      </c>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row>
    <row r="17" spans="1:69" ht="176.25" customHeight="1" x14ac:dyDescent="0.4">
      <c r="A17" s="363">
        <v>4</v>
      </c>
      <c r="B17" s="364" t="s">
        <v>133</v>
      </c>
      <c r="C17" s="364" t="s">
        <v>233</v>
      </c>
      <c r="D17" s="364" t="s">
        <v>234</v>
      </c>
      <c r="E17" s="365" t="s">
        <v>235</v>
      </c>
      <c r="F17" s="364" t="s">
        <v>122</v>
      </c>
      <c r="G17" s="366">
        <v>30</v>
      </c>
      <c r="H17" s="367" t="str">
        <f>IF(G17&lt;=0,"",IF(G17&lt;=2,"Muy Baja",IF(G17&lt;=24,"Baja",IF(G17&lt;=500,"Media",IF(G17&lt;=5000,"Alta","Muy Alta")))))</f>
        <v>Media</v>
      </c>
      <c r="I17" s="368">
        <f>IF(H17="","",IF(H17="Muy Baja",0.2,IF(H17="Baja",0.4,IF(H17="Media",0.6,IF(H17="Alta",0.8,IF(H17="Muy Alta",1,))))))</f>
        <v>0.6</v>
      </c>
      <c r="J17" s="369" t="s">
        <v>150</v>
      </c>
      <c r="K17" s="368" t="str">
        <f ca="1">IF(NOT(ISERROR(MATCH(J17,'Tabla Impacto'!$B$221:$B$223,0))),'Tabla Impacto'!$F$223&amp;"Por favor no seleccionar los criterios de impacto(Afectación Económica o presupuestal y Pérdida Reputacional)",J17)</f>
        <v xml:space="preserve">     Entre 100 y 500 SMLMV </v>
      </c>
      <c r="L17" s="367" t="str">
        <f ca="1">IF(OR(K17='Tabla Impacto'!$C$11,K17='Tabla Impacto'!$D$11),"Leve",IF(OR(K17='Tabla Impacto'!$C$12,K17='Tabla Impacto'!$D$12),"Menor",IF(OR(K17='Tabla Impacto'!$C$13,K17='Tabla Impacto'!$D$13),"Moderado",IF(OR(K17='Tabla Impacto'!$C$14,K17='Tabla Impacto'!$D$14),"Mayor",IF(OR(K17='Tabla Impacto'!$C$15,K17='Tabla Impacto'!$D$15),"Catastrófico","")))))</f>
        <v>Mayor</v>
      </c>
      <c r="M17" s="368">
        <f ca="1">IF(L17="","",IF(L17="Leve",0.2,IF(L17="Menor",0.4,IF(L17="Moderado",0.6,IF(L17="Mayor",0.8,IF(L17="Catastrófico",1,))))))</f>
        <v>0.8</v>
      </c>
      <c r="N17" s="370" t="str">
        <f ca="1">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Alto</v>
      </c>
      <c r="O17" s="371">
        <v>1</v>
      </c>
      <c r="P17" s="124" t="s">
        <v>279</v>
      </c>
      <c r="Q17" s="126" t="str">
        <f>IF(OR(R17="Preventivo",R17="Detectivo"),"Probabilidad",IF(R17="Correctivo","Impacto",""))</f>
        <v>Probabilidad</v>
      </c>
      <c r="R17" s="128" t="s">
        <v>14</v>
      </c>
      <c r="S17" s="128" t="s">
        <v>9</v>
      </c>
      <c r="T17" s="129" t="str">
        <f>IF(AND(R17="Preventivo",S17="Automático"),"50%",IF(AND(R17="Preventivo",S17="Manual"),"40%",IF(AND(R17="Detectivo",S17="Automático"),"40%",IF(AND(R17="Detectivo",S17="Manual"),"30%",IF(AND(R17="Correctivo",S17="Automático"),"35%",IF(AND(R17="Correctivo",S17="Manual"),"25%",""))))))</f>
        <v>40%</v>
      </c>
      <c r="U17" s="128" t="s">
        <v>19</v>
      </c>
      <c r="V17" s="128" t="s">
        <v>23</v>
      </c>
      <c r="W17" s="128" t="s">
        <v>118</v>
      </c>
      <c r="X17" s="134">
        <f>IFERROR(IF(Q17="Probabilidad",(I17-(+I17*T17)),IF(Q17="Impacto",I17,"")),"")</f>
        <v>0.36</v>
      </c>
      <c r="Y17" s="130" t="str">
        <f>IFERROR(IF(X17="","",IF(X17&lt;=0.2,"Muy Baja",IF(X17&lt;=0.4,"Baja",IF(X17&lt;=0.6,"Media",IF(X17&lt;=0.8,"Alta","Muy Alta"))))),"")</f>
        <v>Baja</v>
      </c>
      <c r="Z17" s="131">
        <f>+X17</f>
        <v>0.36</v>
      </c>
      <c r="AA17" s="130" t="str">
        <f ca="1">IFERROR(IF(AB17="","",IF(AB17&lt;=0.2,"Leve",IF(AB17&lt;=0.4,"Menor",IF(AB17&lt;=0.6,"Moderado",IF(AB17&lt;=0.8,"Mayor","Catastrófico"))))),"")</f>
        <v>Mayor</v>
      </c>
      <c r="AB17" s="135">
        <f ca="1">IFERROR(IF(Q17="Impacto",(M17-(+M17*T17)),IF(Q17="Probabilidad",M17,"")),"")</f>
        <v>0.8</v>
      </c>
      <c r="AC17" s="132" t="str">
        <f ca="1">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Alto</v>
      </c>
      <c r="AD17" s="133"/>
      <c r="AE17" s="123" t="s">
        <v>236</v>
      </c>
      <c r="AF17" s="121" t="s">
        <v>221</v>
      </c>
      <c r="AG17" s="122" t="s">
        <v>213</v>
      </c>
      <c r="AH17" s="398"/>
      <c r="AI17" s="123" t="s">
        <v>270</v>
      </c>
      <c r="AJ17" s="390">
        <v>0.66</v>
      </c>
      <c r="AK17" s="121" t="s">
        <v>40</v>
      </c>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row>
    <row r="18" spans="1:69" ht="175.5" customHeight="1" x14ac:dyDescent="0.4">
      <c r="A18" s="373">
        <v>5</v>
      </c>
      <c r="B18" s="374" t="s">
        <v>133</v>
      </c>
      <c r="C18" s="374" t="s">
        <v>242</v>
      </c>
      <c r="D18" s="374" t="s">
        <v>240</v>
      </c>
      <c r="E18" s="389" t="s">
        <v>241</v>
      </c>
      <c r="F18" s="374" t="s">
        <v>122</v>
      </c>
      <c r="G18" s="376">
        <v>30</v>
      </c>
      <c r="H18" s="377" t="str">
        <f>IF(G18&lt;=0,"",IF(G18&lt;=2,"Muy Baja",IF(G18&lt;=24,"Baja",IF(G18&lt;=500,"Media",IF(G18&lt;=5000,"Alta","Muy Alta")))))</f>
        <v>Media</v>
      </c>
      <c r="I18" s="378">
        <f>IF(H18="","",IF(H18="Muy Baja",0.2,IF(H18="Baja",0.4,IF(H18="Media",0.6,IF(H18="Alta",0.8,IF(H18="Muy Alta",1,))))))</f>
        <v>0.6</v>
      </c>
      <c r="J18" s="379" t="s">
        <v>152</v>
      </c>
      <c r="K18" s="378" t="str">
        <f ca="1">IF(NOT(ISERROR(MATCH(J18,'Tabla Impacto'!$B$221:$B$223,0))),'Tabla Impacto'!$F$223&amp;"Por favor no seleccionar los criterios de impacto(Afectación Económica o presupuestal y Pérdida Reputacional)",J18)</f>
        <v xml:space="preserve">     El riesgo afecta la imagen de alguna área de la organización</v>
      </c>
      <c r="L18" s="377" t="str">
        <f ca="1">IF(OR(K18='Tabla Impacto'!$C$11,K18='Tabla Impacto'!$D$11),"Leve",IF(OR(K18='Tabla Impacto'!$C$12,K18='Tabla Impacto'!$D$12),"Menor",IF(OR(K18='Tabla Impacto'!$C$13,K18='Tabla Impacto'!$D$13),"Moderado",IF(OR(K18='Tabla Impacto'!$C$14,K18='Tabla Impacto'!$D$14),"Mayor",IF(OR(K18='Tabla Impacto'!$C$15,K18='Tabla Impacto'!$D$15),"Catastrófico","")))))</f>
        <v>Leve</v>
      </c>
      <c r="M18" s="378">
        <f ca="1">IF(L18="","",IF(L18="Leve",0.2,IF(L18="Menor",0.4,IF(L18="Moderado",0.6,IF(L18="Mayor",0.8,IF(L18="Catastrófico",1,))))))</f>
        <v>0.2</v>
      </c>
      <c r="N18" s="380" t="str">
        <f ca="1">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Moderado</v>
      </c>
      <c r="O18" s="371">
        <v>1</v>
      </c>
      <c r="P18" s="138" t="s">
        <v>283</v>
      </c>
      <c r="Q18" s="126" t="str">
        <f>IF(OR(R18="Preventivo",R18="Detectivo"),"Probabilidad",IF(R18="Correctivo","Impacto",""))</f>
        <v>Probabilidad</v>
      </c>
      <c r="R18" s="128" t="s">
        <v>14</v>
      </c>
      <c r="S18" s="128" t="s">
        <v>9</v>
      </c>
      <c r="T18" s="129" t="str">
        <f>IF(AND(R18="Preventivo",S18="Automático"),"50%",IF(AND(R18="Preventivo",S18="Manual"),"40%",IF(AND(R18="Detectivo",S18="Automático"),"40%",IF(AND(R18="Detectivo",S18="Manual"),"30%",IF(AND(R18="Correctivo",S18="Automático"),"35%",IF(AND(R18="Correctivo",S18="Manual"),"25%",""))))))</f>
        <v>40%</v>
      </c>
      <c r="U18" s="128" t="s">
        <v>19</v>
      </c>
      <c r="V18" s="128" t="s">
        <v>23</v>
      </c>
      <c r="W18" s="128" t="s">
        <v>118</v>
      </c>
      <c r="X18" s="134">
        <f>IFERROR(IF(Q18="Probabilidad",(I18-(+I18*T18)),IF(Q18="Impacto",I18,"")),"")</f>
        <v>0.36</v>
      </c>
      <c r="Y18" s="130" t="str">
        <f>IFERROR(IF(X18="","",IF(X18&lt;=0.2,"Muy Baja",IF(X18&lt;=0.4,"Baja",IF(X18&lt;=0.6,"Media",IF(X18&lt;=0.8,"Alta","Muy Alta"))))),"")</f>
        <v>Baja</v>
      </c>
      <c r="Z18" s="131">
        <f>+X18</f>
        <v>0.36</v>
      </c>
      <c r="AA18" s="130" t="str">
        <f ca="1">IFERROR(IF(AB18="","",IF(AB18&lt;=0.2,"Leve",IF(AB18&lt;=0.4,"Menor",IF(AB18&lt;=0.6,"Moderado",IF(AB18&lt;=0.8,"Mayor","Catastrófico"))))),"")</f>
        <v>Leve</v>
      </c>
      <c r="AB18" s="135">
        <f ca="1">IFERROR(IF(Q18="Impacto",(M18-(+M18*T18)),IF(Q18="Probabilidad",M18,"")),"")</f>
        <v>0.2</v>
      </c>
      <c r="AC18" s="132" t="str">
        <f ca="1">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Bajo</v>
      </c>
      <c r="AD18" s="133" t="s">
        <v>135</v>
      </c>
      <c r="AE18" s="123" t="s">
        <v>280</v>
      </c>
      <c r="AF18" s="123" t="s">
        <v>237</v>
      </c>
      <c r="AG18" s="122" t="s">
        <v>213</v>
      </c>
      <c r="AH18" s="398"/>
      <c r="AI18" s="137" t="s">
        <v>295</v>
      </c>
      <c r="AJ18" s="400">
        <v>0</v>
      </c>
      <c r="AK18" s="121" t="s">
        <v>40</v>
      </c>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row>
    <row r="19" spans="1:69" ht="166.75" customHeight="1" x14ac:dyDescent="0.4">
      <c r="A19" s="381"/>
      <c r="B19" s="382"/>
      <c r="C19" s="382"/>
      <c r="D19" s="382"/>
      <c r="E19" s="383"/>
      <c r="F19" s="382"/>
      <c r="G19" s="384"/>
      <c r="H19" s="385"/>
      <c r="I19" s="386"/>
      <c r="J19" s="387"/>
      <c r="K19" s="386">
        <f ca="1">IF(NOT(ISERROR(MATCH(J19,_xlfn.ANCHORARRAY(E21),0))),I23&amp;"Por favor no seleccionar los criterios de impacto",J19)</f>
        <v>0</v>
      </c>
      <c r="L19" s="385"/>
      <c r="M19" s="386"/>
      <c r="N19" s="388"/>
      <c r="O19" s="371">
        <v>2</v>
      </c>
      <c r="P19" s="124" t="s">
        <v>244</v>
      </c>
      <c r="Q19" s="126" t="str">
        <f>IF(OR(R19="Preventivo",R19="Detectivo"),"Probabilidad",IF(R19="Correctivo","Impacto",""))</f>
        <v>Probabilidad</v>
      </c>
      <c r="R19" s="128" t="s">
        <v>14</v>
      </c>
      <c r="S19" s="128" t="s">
        <v>9</v>
      </c>
      <c r="T19" s="129" t="str">
        <f t="shared" ref="T19" si="11">IF(AND(R19="Preventivo",S19="Automático"),"50%",IF(AND(R19="Preventivo",S19="Manual"),"40%",IF(AND(R19="Detectivo",S19="Automático"),"40%",IF(AND(R19="Detectivo",S19="Manual"),"30%",IF(AND(R19="Correctivo",S19="Automático"),"35%",IF(AND(R19="Correctivo",S19="Manual"),"25%",""))))))</f>
        <v>40%</v>
      </c>
      <c r="U19" s="128" t="s">
        <v>19</v>
      </c>
      <c r="V19" s="128" t="s">
        <v>23</v>
      </c>
      <c r="W19" s="128" t="s">
        <v>118</v>
      </c>
      <c r="X19" s="134">
        <f>IFERROR(IF(AND(Q18="Probabilidad",Q19="Probabilidad"),(Z18-(+Z18*T19)),IF(Q19="Probabilidad",(I18-(+I18*T19)),IF(Q19="Impacto",Z18,""))),"")</f>
        <v>0.216</v>
      </c>
      <c r="Y19" s="130" t="str">
        <f t="shared" si="1"/>
        <v>Baja</v>
      </c>
      <c r="Z19" s="131">
        <f t="shared" ref="Z19" si="12">+X19</f>
        <v>0.216</v>
      </c>
      <c r="AA19" s="130" t="str">
        <f t="shared" ca="1" si="3"/>
        <v>Leve</v>
      </c>
      <c r="AB19" s="135">
        <f ca="1">IFERROR(IF(AND(Q18="Impacto",Q19="Impacto"),(AB18-(+AB18*T19)),IF(Q19="Impacto",(M18-(+M18*T19)),IF(Q19="Probabilidad",AB18,""))),"")</f>
        <v>0.2</v>
      </c>
      <c r="AC19" s="132" t="str">
        <f t="shared" ref="AC19" ca="1" si="13">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Bajo</v>
      </c>
      <c r="AD19" s="133"/>
      <c r="AE19" s="123" t="s">
        <v>243</v>
      </c>
      <c r="AF19" s="123" t="s">
        <v>237</v>
      </c>
      <c r="AG19" s="122" t="s">
        <v>213</v>
      </c>
      <c r="AH19" s="398"/>
      <c r="AI19" s="137" t="s">
        <v>296</v>
      </c>
      <c r="AJ19" s="390">
        <v>0.5</v>
      </c>
      <c r="AK19" s="121" t="s">
        <v>40</v>
      </c>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row>
    <row r="20" spans="1:69" ht="187.5" customHeight="1" x14ac:dyDescent="0.4">
      <c r="A20" s="363">
        <v>6</v>
      </c>
      <c r="B20" s="364"/>
      <c r="C20" s="364" t="s">
        <v>245</v>
      </c>
      <c r="D20" s="364" t="s">
        <v>246</v>
      </c>
      <c r="E20" s="365" t="s">
        <v>247</v>
      </c>
      <c r="F20" s="364" t="s">
        <v>122</v>
      </c>
      <c r="G20" s="366">
        <v>240</v>
      </c>
      <c r="H20" s="367" t="str">
        <f>IF(G20&lt;=0,"",IF(G20&lt;=2,"Muy Baja",IF(G20&lt;=24,"Baja",IF(G20&lt;=500,"Media",IF(G20&lt;=5000,"Alta","Muy Alta")))))</f>
        <v>Media</v>
      </c>
      <c r="I20" s="368">
        <f>IF(H20="","",IF(H20="Muy Baja",0.2,IF(H20="Baja",0.4,IF(H20="Media",0.6,IF(H20="Alta",0.8,IF(H20="Muy Alta",1,))))))</f>
        <v>0.6</v>
      </c>
      <c r="J20" s="369" t="s">
        <v>154</v>
      </c>
      <c r="K20" s="368" t="str">
        <f ca="1">IF(NOT(ISERROR(MATCH(J20,'Tabla Impacto'!$B$221:$B$223,0))),'Tabla Impacto'!$F$223&amp;"Por favor no seleccionar los criterios de impacto(Afectación Económica o presupuestal y Pérdida Reputacional)",J20)</f>
        <v xml:space="preserve">     El riesgo afecta la imagen de la entidad con algunos usuarios de relevancia frente al logro de los objetivos</v>
      </c>
      <c r="L20" s="367" t="str">
        <f ca="1">IF(OR(K20='Tabla Impacto'!$C$11,K20='Tabla Impacto'!$D$11),"Leve",IF(OR(K20='Tabla Impacto'!$C$12,K20='Tabla Impacto'!$D$12),"Menor",IF(OR(K20='Tabla Impacto'!$C$13,K20='Tabla Impacto'!$D$13),"Moderado",IF(OR(K20='Tabla Impacto'!$C$14,K20='Tabla Impacto'!$D$14),"Mayor",IF(OR(K20='Tabla Impacto'!$C$15,K20='Tabla Impacto'!$D$15),"Catastrófico","")))))</f>
        <v>Moderado</v>
      </c>
      <c r="M20" s="368">
        <f ca="1">IF(L20="","",IF(L20="Leve",0.2,IF(L20="Menor",0.4,IF(L20="Moderado",0.6,IF(L20="Mayor",0.8,IF(L20="Catastrófico",1,))))))</f>
        <v>0.6</v>
      </c>
      <c r="N20" s="370" t="str">
        <f ca="1">IF(OR(AND(H20="Muy Baja",L20="Leve"),AND(H20="Muy Baja",L20="Menor"),AND(H20="Baja",L20="Leve")),"Bajo",IF(OR(AND(H20="Muy baja",L20="Moderado"),AND(H20="Baja",L20="Menor"),AND(H20="Baja",L20="Moderado"),AND(H20="Media",L20="Leve"),AND(H20="Media",L20="Menor"),AND(H20="Media",L20="Moderado"),AND(H20="Alta",L20="Leve"),AND(H20="Alta",L20="Menor")),"Moderado",IF(OR(AND(H20="Muy Baja",L20="Mayor"),AND(H20="Baja",L20="Mayor"),AND(H20="Media",L20="Mayor"),AND(H20="Alta",L20="Moderado"),AND(H20="Alta",L20="Mayor"),AND(H20="Muy Alta",L20="Leve"),AND(H20="Muy Alta",L20="Menor"),AND(H20="Muy Alta",L20="Moderado"),AND(H20="Muy Alta",L20="Mayor")),"Alto",IF(OR(AND(H20="Muy Baja",L20="Catastrófico"),AND(H20="Baja",L20="Catastrófico"),AND(H20="Media",L20="Catastrófico"),AND(H20="Alta",L20="Catastrófico"),AND(H20="Muy Alta",L20="Catastrófico")),"Extremo",""))))</f>
        <v>Moderado</v>
      </c>
      <c r="O20" s="371">
        <v>1</v>
      </c>
      <c r="P20" s="139" t="s">
        <v>250</v>
      </c>
      <c r="Q20" s="126" t="str">
        <f>IF(OR(R20="Preventivo",R20="Detectivo"),"Probabilidad",IF(R20="Correctivo","Impacto",""))</f>
        <v>Probabilidad</v>
      </c>
      <c r="R20" s="128" t="s">
        <v>14</v>
      </c>
      <c r="S20" s="128" t="s">
        <v>9</v>
      </c>
      <c r="T20" s="129" t="str">
        <f>IF(AND(R20="Preventivo",S20="Automático"),"50%",IF(AND(R20="Preventivo",S20="Manual"),"40%",IF(AND(R20="Detectivo",S20="Automático"),"40%",IF(AND(R20="Detectivo",S20="Manual"),"30%",IF(AND(R20="Correctivo",S20="Automático"),"35%",IF(AND(R20="Correctivo",S20="Manual"),"25%",""))))))</f>
        <v>40%</v>
      </c>
      <c r="U20" s="128" t="s">
        <v>19</v>
      </c>
      <c r="V20" s="128" t="s">
        <v>23</v>
      </c>
      <c r="W20" s="128" t="s">
        <v>118</v>
      </c>
      <c r="X20" s="134">
        <f>IFERROR(IF(Q20="Probabilidad",(I20-(+I20*T20)),IF(Q20="Impacto",I20,"")),"")</f>
        <v>0.36</v>
      </c>
      <c r="Y20" s="130" t="str">
        <f>IFERROR(IF(X20="","",IF(X20&lt;=0.2,"Muy Baja",IF(X20&lt;=0.4,"Baja",IF(X20&lt;=0.6,"Media",IF(X20&lt;=0.8,"Alta","Muy Alta"))))),"")</f>
        <v>Baja</v>
      </c>
      <c r="Z20" s="131">
        <f>+X20</f>
        <v>0.36</v>
      </c>
      <c r="AA20" s="130" t="str">
        <f ca="1">IFERROR(IF(AB20="","",IF(AB20&lt;=0.2,"Leve",IF(AB20&lt;=0.4,"Menor",IF(AB20&lt;=0.6,"Moderado",IF(AB20&lt;=0.8,"Mayor","Catastrófico"))))),"")</f>
        <v>Moderado</v>
      </c>
      <c r="AB20" s="135">
        <f ca="1">IFERROR(IF(Q20="Impacto",(M20-(+M20*T20)),IF(Q20="Probabilidad",M20,"")),"")</f>
        <v>0.6</v>
      </c>
      <c r="AC20" s="132" t="str">
        <f ca="1">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Moderado</v>
      </c>
      <c r="AD20" s="133" t="s">
        <v>135</v>
      </c>
      <c r="AE20" s="123" t="s">
        <v>248</v>
      </c>
      <c r="AF20" s="123" t="s">
        <v>249</v>
      </c>
      <c r="AG20" s="122" t="s">
        <v>213</v>
      </c>
      <c r="AH20" s="398"/>
      <c r="AI20" s="137" t="s">
        <v>297</v>
      </c>
      <c r="AJ20" s="390">
        <v>0.66</v>
      </c>
      <c r="AK20" s="121" t="s">
        <v>40</v>
      </c>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row>
    <row r="21" spans="1:69" ht="151.5" customHeight="1" x14ac:dyDescent="0.4">
      <c r="A21" s="373">
        <v>7</v>
      </c>
      <c r="B21" s="374" t="s">
        <v>133</v>
      </c>
      <c r="C21" s="374" t="s">
        <v>259</v>
      </c>
      <c r="D21" s="374" t="s">
        <v>256</v>
      </c>
      <c r="E21" s="375" t="s">
        <v>281</v>
      </c>
      <c r="F21" s="374" t="s">
        <v>122</v>
      </c>
      <c r="G21" s="376">
        <v>240</v>
      </c>
      <c r="H21" s="377" t="str">
        <f>IF(G21&lt;=0,"",IF(G21&lt;=2,"Muy Baja",IF(G21&lt;=24,"Baja",IF(G21&lt;=500,"Media",IF(G21&lt;=5000,"Alta","Muy Alta")))))</f>
        <v>Media</v>
      </c>
      <c r="I21" s="378">
        <f>IF(H21="","",IF(H21="Muy Baja",0.2,IF(H21="Baja",0.4,IF(H21="Media",0.6,IF(H21="Alta",0.8,IF(H21="Muy Alta",1,))))))</f>
        <v>0.6</v>
      </c>
      <c r="J21" s="379" t="s">
        <v>154</v>
      </c>
      <c r="K21" s="378" t="str">
        <f ca="1">IF(NOT(ISERROR(MATCH(J21,'Tabla Impacto'!$B$221:$B$223,0))),'Tabla Impacto'!$F$223&amp;"Por favor no seleccionar los criterios de impacto(Afectación Económica o presupuestal y Pérdida Reputacional)",J21)</f>
        <v xml:space="preserve">     El riesgo afecta la imagen de la entidad con algunos usuarios de relevancia frente al logro de los objetivos</v>
      </c>
      <c r="L21" s="377" t="str">
        <f ca="1">IF(OR(K21='Tabla Impacto'!$C$11,K21='Tabla Impacto'!$D$11),"Leve",IF(OR(K21='Tabla Impacto'!$C$12,K21='Tabla Impacto'!$D$12),"Menor",IF(OR(K21='Tabla Impacto'!$C$13,K21='Tabla Impacto'!$D$13),"Moderado",IF(OR(K21='Tabla Impacto'!$C$14,K21='Tabla Impacto'!$D$14),"Mayor",IF(OR(K21='Tabla Impacto'!$C$15,K21='Tabla Impacto'!$D$15),"Catastrófico","")))))</f>
        <v>Moderado</v>
      </c>
      <c r="M21" s="378">
        <f ca="1">IF(L21="","",IF(L21="Leve",0.2,IF(L21="Menor",0.4,IF(L21="Moderado",0.6,IF(L21="Mayor",0.8,IF(L21="Catastrófico",1,))))))</f>
        <v>0.6</v>
      </c>
      <c r="N21" s="380" t="str">
        <f ca="1">IF(OR(AND(H21="Muy Baja",L21="Leve"),AND(H21="Muy Baja",L21="Menor"),AND(H21="Baja",L21="Leve")),"Bajo",IF(OR(AND(H21="Muy baja",L21="Moderado"),AND(H21="Baja",L21="Menor"),AND(H21="Baja",L21="Moderado"),AND(H21="Media",L21="Leve"),AND(H21="Media",L21="Menor"),AND(H21="Media",L21="Moderado"),AND(H21="Alta",L21="Leve"),AND(H21="Alta",L21="Menor")),"Moderado",IF(OR(AND(H21="Muy Baja",L21="Mayor"),AND(H21="Baja",L21="Mayor"),AND(H21="Media",L21="Mayor"),AND(H21="Alta",L21="Moderado"),AND(H21="Alta",L21="Mayor"),AND(H21="Muy Alta",L21="Leve"),AND(H21="Muy Alta",L21="Menor"),AND(H21="Muy Alta",L21="Moderado"),AND(H21="Muy Alta",L21="Mayor")),"Alto",IF(OR(AND(H21="Muy Baja",L21="Catastrófico"),AND(H21="Baja",L21="Catastrófico"),AND(H21="Media",L21="Catastrófico"),AND(H21="Alta",L21="Catastrófico"),AND(H21="Muy Alta",L21="Catastrófico")),"Extremo",""))))</f>
        <v>Moderado</v>
      </c>
      <c r="O21" s="371">
        <v>1</v>
      </c>
      <c r="P21" s="124" t="s">
        <v>251</v>
      </c>
      <c r="Q21" s="126" t="str">
        <f>IF(OR(R21="Preventivo",R21="Detectivo"),"Probabilidad",IF(R21="Correctivo","Impacto",""))</f>
        <v>Probabilidad</v>
      </c>
      <c r="R21" s="128" t="s">
        <v>14</v>
      </c>
      <c r="S21" s="128" t="s">
        <v>9</v>
      </c>
      <c r="T21" s="129" t="str">
        <f>IF(AND(R21="Preventivo",S21="Automático"),"50%",IF(AND(R21="Preventivo",S21="Manual"),"40%",IF(AND(R21="Detectivo",S21="Automático"),"40%",IF(AND(R21="Detectivo",S21="Manual"),"30%",IF(AND(R21="Correctivo",S21="Automático"),"35%",IF(AND(R21="Correctivo",S21="Manual"),"25%",""))))))</f>
        <v>40%</v>
      </c>
      <c r="U21" s="128" t="s">
        <v>19</v>
      </c>
      <c r="V21" s="128" t="s">
        <v>23</v>
      </c>
      <c r="W21" s="128" t="s">
        <v>118</v>
      </c>
      <c r="X21" s="134">
        <f>IFERROR(IF(Q21="Probabilidad",(I21-(+I21*T21)),IF(Q21="Impacto",I21,"")),"")</f>
        <v>0.36</v>
      </c>
      <c r="Y21" s="130" t="str">
        <f>IFERROR(IF(X21="","",IF(X21&lt;=0.2,"Muy Baja",IF(X21&lt;=0.4,"Baja",IF(X21&lt;=0.6,"Media",IF(X21&lt;=0.8,"Alta","Muy Alta"))))),"")</f>
        <v>Baja</v>
      </c>
      <c r="Z21" s="131">
        <f>+X21</f>
        <v>0.36</v>
      </c>
      <c r="AA21" s="130" t="str">
        <f ca="1">IFERROR(IF(AB21="","",IF(AB21&lt;=0.2,"Leve",IF(AB21&lt;=0.4,"Menor",IF(AB21&lt;=0.6,"Moderado",IF(AB21&lt;=0.8,"Mayor","Catastrófico"))))),"")</f>
        <v>Moderado</v>
      </c>
      <c r="AB21" s="135">
        <f ca="1">IFERROR(IF(Q21="Impacto",(M21-(+M21*T21)),IF(Q21="Probabilidad",M21,"")),"")</f>
        <v>0.6</v>
      </c>
      <c r="AC21" s="132" t="str">
        <f ca="1">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Moderado</v>
      </c>
      <c r="AD21" s="133" t="s">
        <v>135</v>
      </c>
      <c r="AE21" s="123" t="s">
        <v>252</v>
      </c>
      <c r="AF21" s="123" t="s">
        <v>253</v>
      </c>
      <c r="AG21" s="122" t="s">
        <v>213</v>
      </c>
      <c r="AH21" s="398"/>
      <c r="AI21" s="123" t="s">
        <v>298</v>
      </c>
      <c r="AJ21" s="390">
        <v>0.66</v>
      </c>
      <c r="AK21" s="121" t="s">
        <v>40</v>
      </c>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row>
    <row r="22" spans="1:69" ht="241.5" customHeight="1" x14ac:dyDescent="0.4">
      <c r="A22" s="381"/>
      <c r="B22" s="382"/>
      <c r="C22" s="382"/>
      <c r="D22" s="382"/>
      <c r="E22" s="383"/>
      <c r="F22" s="382"/>
      <c r="G22" s="384"/>
      <c r="H22" s="385"/>
      <c r="I22" s="386"/>
      <c r="J22" s="387"/>
      <c r="K22" s="386">
        <f ca="1">IF(NOT(ISERROR(MATCH(J22,_xlfn.ANCHORARRAY(#REF!),0))),#REF!&amp;"Por favor no seleccionar los criterios de impacto",J22)</f>
        <v>0</v>
      </c>
      <c r="L22" s="385"/>
      <c r="M22" s="386"/>
      <c r="N22" s="388"/>
      <c r="O22" s="371">
        <v>2</v>
      </c>
      <c r="P22" s="124" t="s">
        <v>271</v>
      </c>
      <c r="Q22" s="126" t="str">
        <f>IF(OR(R22="Preventivo",R22="Detectivo"),"Probabilidad",IF(R22="Correctivo","Impacto",""))</f>
        <v>Probabilidad</v>
      </c>
      <c r="R22" s="128" t="s">
        <v>14</v>
      </c>
      <c r="S22" s="128" t="s">
        <v>9</v>
      </c>
      <c r="T22" s="129" t="str">
        <f t="shared" ref="T22:T23" si="14">IF(AND(R22="Preventivo",S22="Automático"),"50%",IF(AND(R22="Preventivo",S22="Manual"),"40%",IF(AND(R22="Detectivo",S22="Automático"),"40%",IF(AND(R22="Detectivo",S22="Manual"),"30%",IF(AND(R22="Correctivo",S22="Automático"),"35%",IF(AND(R22="Correctivo",S22="Manual"),"25%",""))))))</f>
        <v>40%</v>
      </c>
      <c r="U22" s="128" t="s">
        <v>19</v>
      </c>
      <c r="V22" s="128" t="s">
        <v>23</v>
      </c>
      <c r="W22" s="128" t="s">
        <v>118</v>
      </c>
      <c r="X22" s="134">
        <f>IFERROR(IF(AND(Q21="Probabilidad",Q22="Probabilidad"),(Z21-(+Z21*T22)),IF(Q22="Probabilidad",(I21-(+I21*T22)),IF(Q22="Impacto",Z21,""))),"")</f>
        <v>0.216</v>
      </c>
      <c r="Y22" s="130" t="str">
        <f t="shared" si="1"/>
        <v>Baja</v>
      </c>
      <c r="Z22" s="131">
        <f t="shared" ref="Z22:Z23" si="15">+X22</f>
        <v>0.216</v>
      </c>
      <c r="AA22" s="130" t="str">
        <f t="shared" ca="1" si="3"/>
        <v>Moderado</v>
      </c>
      <c r="AB22" s="135">
        <f ca="1">IFERROR(IF(AND(Q21="Impacto",Q22="Impacto"),(AB21-(+AB21*T22)),IF(Q22="Impacto",(M21-(+M21*T22)),IF(Q22="Probabilidad",AB21,""))),"")</f>
        <v>0.6</v>
      </c>
      <c r="AC22" s="132" t="str">
        <f t="shared" ref="AC22:AC23" ca="1" si="16">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Moderado</v>
      </c>
      <c r="AD22" s="133" t="s">
        <v>135</v>
      </c>
      <c r="AE22" s="123" t="s">
        <v>258</v>
      </c>
      <c r="AF22" s="123" t="s">
        <v>255</v>
      </c>
      <c r="AG22" s="122" t="s">
        <v>213</v>
      </c>
      <c r="AH22" s="398"/>
      <c r="AI22" s="123" t="s">
        <v>284</v>
      </c>
      <c r="AJ22" s="390">
        <v>0.66</v>
      </c>
      <c r="AK22" s="121" t="s">
        <v>40</v>
      </c>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row>
    <row r="23" spans="1:69" ht="151.5" customHeight="1" x14ac:dyDescent="0.4">
      <c r="A23" s="381"/>
      <c r="B23" s="382"/>
      <c r="C23" s="382"/>
      <c r="D23" s="382"/>
      <c r="E23" s="383"/>
      <c r="F23" s="382"/>
      <c r="G23" s="384"/>
      <c r="H23" s="385"/>
      <c r="I23" s="386"/>
      <c r="J23" s="387"/>
      <c r="K23" s="386">
        <f ca="1">IF(NOT(ISERROR(MATCH(J23,_xlfn.ANCHORARRAY(#REF!),0))),#REF!&amp;"Por favor no seleccionar los criterios de impacto",J23)</f>
        <v>0</v>
      </c>
      <c r="L23" s="385"/>
      <c r="M23" s="386"/>
      <c r="N23" s="388"/>
      <c r="O23" s="371">
        <v>3</v>
      </c>
      <c r="P23" s="125" t="s">
        <v>254</v>
      </c>
      <c r="Q23" s="126" t="str">
        <f>IF(OR(R23="Preventivo",R23="Detectivo"),"Probabilidad",IF(R23="Correctivo","Impacto",""))</f>
        <v>Probabilidad</v>
      </c>
      <c r="R23" s="128" t="s">
        <v>14</v>
      </c>
      <c r="S23" s="128" t="s">
        <v>9</v>
      </c>
      <c r="T23" s="129" t="str">
        <f t="shared" si="14"/>
        <v>40%</v>
      </c>
      <c r="U23" s="128" t="s">
        <v>19</v>
      </c>
      <c r="V23" s="128" t="s">
        <v>23</v>
      </c>
      <c r="W23" s="128" t="s">
        <v>118</v>
      </c>
      <c r="X23" s="134">
        <f>IFERROR(IF(AND(Q22="Probabilidad",Q23="Probabilidad"),(Z22-(+Z22*T23)),IF(AND(Q22="Impacto",Q23="Probabilidad"),(Z21-(+Z21*T23)),IF(Q23="Impacto",Z22,""))),"")</f>
        <v>0.12959999999999999</v>
      </c>
      <c r="Y23" s="130" t="str">
        <f t="shared" si="1"/>
        <v>Muy Baja</v>
      </c>
      <c r="Z23" s="131">
        <f t="shared" si="15"/>
        <v>0.12959999999999999</v>
      </c>
      <c r="AA23" s="130" t="str">
        <f t="shared" ca="1" si="3"/>
        <v>Moderado</v>
      </c>
      <c r="AB23" s="135">
        <f ca="1">IFERROR(IF(AND(Q22="Impacto",Q23="Impacto"),(AB22-(+AB22*T23)),IF(AND(Q22="Probabilidad",Q23="Impacto"),(AB21-(+AB21*T23)),IF(Q23="Probabilidad",AB22,""))),"")</f>
        <v>0.6</v>
      </c>
      <c r="AC23" s="132" t="str">
        <f t="shared" ca="1" si="16"/>
        <v>Moderado</v>
      </c>
      <c r="AD23" s="133" t="s">
        <v>135</v>
      </c>
      <c r="AE23" s="123" t="s">
        <v>257</v>
      </c>
      <c r="AF23" s="123" t="s">
        <v>255</v>
      </c>
      <c r="AG23" s="122" t="s">
        <v>213</v>
      </c>
      <c r="AH23" s="398"/>
      <c r="AI23" s="123" t="s">
        <v>272</v>
      </c>
      <c r="AJ23" s="390">
        <v>0.66</v>
      </c>
      <c r="AK23" s="121" t="s">
        <v>40</v>
      </c>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row>
    <row r="24" spans="1:69" ht="168.75" customHeight="1" x14ac:dyDescent="0.4">
      <c r="A24" s="363">
        <v>8</v>
      </c>
      <c r="B24" s="364" t="s">
        <v>133</v>
      </c>
      <c r="C24" s="364" t="s">
        <v>263</v>
      </c>
      <c r="D24" s="364" t="s">
        <v>264</v>
      </c>
      <c r="E24" s="365" t="s">
        <v>265</v>
      </c>
      <c r="F24" s="364" t="s">
        <v>122</v>
      </c>
      <c r="G24" s="366">
        <v>1</v>
      </c>
      <c r="H24" s="367" t="str">
        <f>IF(G24&lt;=0,"",IF(G24&lt;=2,"Muy Baja",IF(G24&lt;=24,"Baja",IF(G24&lt;=500,"Media",IF(G24&lt;=5000,"Alta","Muy Alta")))))</f>
        <v>Muy Baja</v>
      </c>
      <c r="I24" s="368">
        <f>IF(H24="","",IF(H24="Muy Baja",0.2,IF(H24="Baja",0.4,IF(H24="Media",0.6,IF(H24="Alta",0.8,IF(H24="Muy Alta",1,))))))</f>
        <v>0.2</v>
      </c>
      <c r="J24" s="369" t="s">
        <v>153</v>
      </c>
      <c r="K24" s="368" t="str">
        <f ca="1">IF(NOT(ISERROR(MATCH(J24,'Tabla Impacto'!$B$221:$B$223,0))),'Tabla Impacto'!$F$223&amp;"Por favor no seleccionar los criterios de impacto(Afectación Económica o presupuestal y Pérdida Reputacional)",J24)</f>
        <v xml:space="preserve">     El riesgo afecta la imagen de la entidad internamente, de conocimiento general, nivel interno, de junta dircetiva y accionistas y/o de provedores</v>
      </c>
      <c r="L24" s="367" t="str">
        <f ca="1">IF(OR(K24='Tabla Impacto'!$C$11,K24='Tabla Impacto'!$D$11),"Leve",IF(OR(K24='Tabla Impacto'!$C$12,K24='Tabla Impacto'!$D$12),"Menor",IF(OR(K24='Tabla Impacto'!$C$13,K24='Tabla Impacto'!$D$13),"Moderado",IF(OR(K24='Tabla Impacto'!$C$14,K24='Tabla Impacto'!$D$14),"Mayor",IF(OR(K24='Tabla Impacto'!$C$15,K24='Tabla Impacto'!$D$15),"Catastrófico","")))))</f>
        <v>Menor</v>
      </c>
      <c r="M24" s="368">
        <f ca="1">IF(L24="","",IF(L24="Leve",0.2,IF(L24="Menor",0.4,IF(L24="Moderado",0.6,IF(L24="Mayor",0.8,IF(L24="Catastrófico",1,))))))</f>
        <v>0.4</v>
      </c>
      <c r="N24" s="370" t="str">
        <f ca="1">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Bajo</v>
      </c>
      <c r="O24" s="371">
        <v>1</v>
      </c>
      <c r="P24" s="138" t="s">
        <v>260</v>
      </c>
      <c r="Q24" s="126" t="str">
        <f>IF(OR(R24="Preventivo",R24="Detectivo"),"Probabilidad",IF(R24="Correctivo","Impacto",""))</f>
        <v>Probabilidad</v>
      </c>
      <c r="R24" s="128" t="s">
        <v>14</v>
      </c>
      <c r="S24" s="128" t="s">
        <v>9</v>
      </c>
      <c r="T24" s="129" t="str">
        <f>IF(AND(R24="Preventivo",S24="Automático"),"50%",IF(AND(R24="Preventivo",S24="Manual"),"40%",IF(AND(R24="Detectivo",S24="Automático"),"40%",IF(AND(R24="Detectivo",S24="Manual"),"30%",IF(AND(R24="Correctivo",S24="Automático"),"35%",IF(AND(R24="Correctivo",S24="Manual"),"25%",""))))))</f>
        <v>40%</v>
      </c>
      <c r="U24" s="128" t="s">
        <v>19</v>
      </c>
      <c r="V24" s="128" t="s">
        <v>23</v>
      </c>
      <c r="W24" s="128" t="s">
        <v>118</v>
      </c>
      <c r="X24" s="134">
        <f>IFERROR(IF(Q24="Probabilidad",(I24-(+I24*T24)),IF(Q24="Impacto",I24,"")),"")</f>
        <v>0.12</v>
      </c>
      <c r="Y24" s="130" t="str">
        <f>IFERROR(IF(X24="","",IF(X24&lt;=0.2,"Muy Baja",IF(X24&lt;=0.4,"Baja",IF(X24&lt;=0.6,"Media",IF(X24&lt;=0.8,"Alta","Muy Alta"))))),"")</f>
        <v>Muy Baja</v>
      </c>
      <c r="Z24" s="131">
        <f>+X24</f>
        <v>0.12</v>
      </c>
      <c r="AA24" s="130" t="str">
        <f ca="1">IFERROR(IF(AB24="","",IF(AB24&lt;=0.2,"Leve",IF(AB24&lt;=0.4,"Menor",IF(AB24&lt;=0.6,"Moderado",IF(AB24&lt;=0.8,"Mayor","Catastrófico"))))),"")</f>
        <v>Menor</v>
      </c>
      <c r="AB24" s="135">
        <f ca="1">IFERROR(IF(Q24="Impacto",(M24-(+M24*T24)),IF(Q24="Probabilidad",M24,"")),"")</f>
        <v>0.4</v>
      </c>
      <c r="AC24" s="132" t="str">
        <f ca="1">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Bajo</v>
      </c>
      <c r="AD24" s="133" t="s">
        <v>135</v>
      </c>
      <c r="AE24" s="137" t="s">
        <v>261</v>
      </c>
      <c r="AF24" s="121" t="s">
        <v>262</v>
      </c>
      <c r="AG24" s="122" t="s">
        <v>213</v>
      </c>
      <c r="AH24" s="399"/>
      <c r="AI24" s="137" t="s">
        <v>299</v>
      </c>
      <c r="AJ24" s="390">
        <v>0.3</v>
      </c>
      <c r="AK24" s="121" t="s">
        <v>40</v>
      </c>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row>
    <row r="25" spans="1:69" ht="49.5" customHeight="1" x14ac:dyDescent="0.4">
      <c r="A25" s="4"/>
      <c r="B25" s="403" t="s">
        <v>130</v>
      </c>
      <c r="C25" s="404"/>
      <c r="D25" s="404"/>
      <c r="E25" s="404"/>
      <c r="F25" s="404"/>
      <c r="G25" s="404"/>
      <c r="H25" s="404"/>
      <c r="I25" s="401"/>
      <c r="J25" s="401"/>
      <c r="K25" s="401"/>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5" t="s">
        <v>300</v>
      </c>
      <c r="AJ25" s="406">
        <f>+AVERAGE(AJ10:AJ24)</f>
        <v>0.57571428571428573</v>
      </c>
      <c r="AK25" s="402"/>
    </row>
    <row r="27" spans="1:69" x14ac:dyDescent="0.4">
      <c r="A27" s="2"/>
      <c r="B27" s="21" t="s">
        <v>142</v>
      </c>
      <c r="C27" s="2"/>
      <c r="D27" s="2"/>
      <c r="F27" s="2"/>
    </row>
  </sheetData>
  <dataConsolidate/>
  <mergeCells count="109">
    <mergeCell ref="B25:H25"/>
    <mergeCell ref="AJ8:AJ9"/>
    <mergeCell ref="AE11:AE12"/>
    <mergeCell ref="AF11:AF12"/>
    <mergeCell ref="AG11:AG12"/>
    <mergeCell ref="AI11:AI12"/>
    <mergeCell ref="AJ11:AJ12"/>
    <mergeCell ref="AK11:AK12"/>
    <mergeCell ref="AH10:AH24"/>
    <mergeCell ref="C4:N4"/>
    <mergeCell ref="O4:Q4"/>
    <mergeCell ref="A1:AK2"/>
    <mergeCell ref="A7:G7"/>
    <mergeCell ref="H7:N7"/>
    <mergeCell ref="O7:W7"/>
    <mergeCell ref="X7:AD7"/>
    <mergeCell ref="AE7:AK7"/>
    <mergeCell ref="M21:M23"/>
    <mergeCell ref="N21:N23"/>
    <mergeCell ref="F21:F23"/>
    <mergeCell ref="G21:G23"/>
    <mergeCell ref="H21:H23"/>
    <mergeCell ref="I21:I23"/>
    <mergeCell ref="I18:I19"/>
    <mergeCell ref="J18:J19"/>
    <mergeCell ref="K18:K19"/>
    <mergeCell ref="L18:L19"/>
    <mergeCell ref="A21:A23"/>
    <mergeCell ref="B21:B23"/>
    <mergeCell ref="C21:C23"/>
    <mergeCell ref="D21:D23"/>
    <mergeCell ref="E21:E23"/>
    <mergeCell ref="M18:M19"/>
    <mergeCell ref="N18:N19"/>
    <mergeCell ref="J21:J23"/>
    <mergeCell ref="K21:K23"/>
    <mergeCell ref="L21:L23"/>
    <mergeCell ref="A18:A19"/>
    <mergeCell ref="B18:B19"/>
    <mergeCell ref="C18:C19"/>
    <mergeCell ref="D18:D19"/>
    <mergeCell ref="E18:E19"/>
    <mergeCell ref="F18:F19"/>
    <mergeCell ref="G18:G19"/>
    <mergeCell ref="H18:H19"/>
    <mergeCell ref="M15:M16"/>
    <mergeCell ref="N15:N16"/>
    <mergeCell ref="K11:K14"/>
    <mergeCell ref="L11:L14"/>
    <mergeCell ref="M11:M14"/>
    <mergeCell ref="N11:N14"/>
    <mergeCell ref="A15:A16"/>
    <mergeCell ref="B15:B16"/>
    <mergeCell ref="C15:C16"/>
    <mergeCell ref="D15:D16"/>
    <mergeCell ref="E15:E16"/>
    <mergeCell ref="F15:F16"/>
    <mergeCell ref="G15:G16"/>
    <mergeCell ref="H15:H16"/>
    <mergeCell ref="I15:I16"/>
    <mergeCell ref="J15:J16"/>
    <mergeCell ref="K15:K16"/>
    <mergeCell ref="L15:L16"/>
    <mergeCell ref="F11:F14"/>
    <mergeCell ref="G11:G14"/>
    <mergeCell ref="H11:H14"/>
    <mergeCell ref="I11:I14"/>
    <mergeCell ref="J11:J14"/>
    <mergeCell ref="A11:A14"/>
    <mergeCell ref="B11:B14"/>
    <mergeCell ref="C11:C14"/>
    <mergeCell ref="D11:D14"/>
    <mergeCell ref="E11:E14"/>
    <mergeCell ref="AE8:AE9"/>
    <mergeCell ref="AK8:AK9"/>
    <mergeCell ref="AI8:AI9"/>
    <mergeCell ref="AH8:AH9"/>
    <mergeCell ref="AG8:AG9"/>
    <mergeCell ref="AF8:AF9"/>
    <mergeCell ref="A4:B4"/>
    <mergeCell ref="A5:B5"/>
    <mergeCell ref="A6:B6"/>
    <mergeCell ref="A8:A9"/>
    <mergeCell ref="F8:F9"/>
    <mergeCell ref="E8:E9"/>
    <mergeCell ref="D8:D9"/>
    <mergeCell ref="C8:C9"/>
    <mergeCell ref="AD8:AD9"/>
    <mergeCell ref="C5:N5"/>
    <mergeCell ref="C6:N6"/>
    <mergeCell ref="O8:O9"/>
    <mergeCell ref="AC8:AC9"/>
    <mergeCell ref="AB8:AB9"/>
    <mergeCell ref="X8:X9"/>
    <mergeCell ref="P8:P9"/>
    <mergeCell ref="AA8:AA9"/>
    <mergeCell ref="Y8:Y9"/>
    <mergeCell ref="Z8:Z9"/>
    <mergeCell ref="G8:G9"/>
    <mergeCell ref="H8:H9"/>
    <mergeCell ref="I8:I9"/>
    <mergeCell ref="L8:L9"/>
    <mergeCell ref="M8:M9"/>
    <mergeCell ref="B8:B9"/>
    <mergeCell ref="N8:N9"/>
    <mergeCell ref="J8:J9"/>
    <mergeCell ref="K8:K9"/>
    <mergeCell ref="Q8:Q9"/>
    <mergeCell ref="R8:W8"/>
  </mergeCells>
  <conditionalFormatting sqref="H10:H11 Y10 Y17 Y20 Y24">
    <cfRule type="cellIs" dxfId="128" priority="319" operator="equal">
      <formula>"Muy Alta"</formula>
    </cfRule>
    <cfRule type="cellIs" dxfId="127" priority="320" operator="equal">
      <formula>"Alta"</formula>
    </cfRule>
    <cfRule type="cellIs" dxfId="126" priority="321" operator="equal">
      <formula>"Media"</formula>
    </cfRule>
    <cfRule type="cellIs" dxfId="125" priority="322" operator="equal">
      <formula>"Baja"</formula>
    </cfRule>
    <cfRule type="cellIs" dxfId="124" priority="323" operator="equal">
      <formula>"Muy Baja"</formula>
    </cfRule>
  </conditionalFormatting>
  <conditionalFormatting sqref="L10:L11 L15 L17:L18 L20:L21 L24 AA10 AA17 AA20 AA24">
    <cfRule type="cellIs" dxfId="123" priority="314" operator="equal">
      <formula>"Catastrófico"</formula>
    </cfRule>
    <cfRule type="cellIs" dxfId="122" priority="315" operator="equal">
      <formula>"Mayor"</formula>
    </cfRule>
    <cfRule type="cellIs" dxfId="121" priority="316" operator="equal">
      <formula>"Moderado"</formula>
    </cfRule>
    <cfRule type="cellIs" dxfId="120" priority="317" operator="equal">
      <formula>"Menor"</formula>
    </cfRule>
    <cfRule type="cellIs" dxfId="119" priority="318" operator="equal">
      <formula>"Leve"</formula>
    </cfRule>
  </conditionalFormatting>
  <conditionalFormatting sqref="N10 AC10 AC17 AC20 AC24">
    <cfRule type="cellIs" dxfId="118" priority="310" operator="equal">
      <formula>"Extremo"</formula>
    </cfRule>
    <cfRule type="cellIs" dxfId="117" priority="311" operator="equal">
      <formula>"Alto"</formula>
    </cfRule>
    <cfRule type="cellIs" dxfId="116" priority="312" operator="equal">
      <formula>"Moderado"</formula>
    </cfRule>
    <cfRule type="cellIs" dxfId="115" priority="313" operator="equal">
      <formula>"Bajo"</formula>
    </cfRule>
  </conditionalFormatting>
  <conditionalFormatting sqref="N11">
    <cfRule type="cellIs" dxfId="114" priority="240" operator="equal">
      <formula>"Extremo"</formula>
    </cfRule>
    <cfRule type="cellIs" dxfId="113" priority="241" operator="equal">
      <formula>"Alto"</formula>
    </cfRule>
    <cfRule type="cellIs" dxfId="112" priority="242" operator="equal">
      <formula>"Moderado"</formula>
    </cfRule>
    <cfRule type="cellIs" dxfId="111" priority="243" operator="equal">
      <formula>"Bajo"</formula>
    </cfRule>
  </conditionalFormatting>
  <conditionalFormatting sqref="Y11:Y14">
    <cfRule type="cellIs" dxfId="110" priority="235" operator="equal">
      <formula>"Muy Alta"</formula>
    </cfRule>
    <cfRule type="cellIs" dxfId="109" priority="236" operator="equal">
      <formula>"Alta"</formula>
    </cfRule>
    <cfRule type="cellIs" dxfId="108" priority="237" operator="equal">
      <formula>"Media"</formula>
    </cfRule>
    <cfRule type="cellIs" dxfId="107" priority="238" operator="equal">
      <formula>"Baja"</formula>
    </cfRule>
    <cfRule type="cellIs" dxfId="106" priority="239" operator="equal">
      <formula>"Muy Baja"</formula>
    </cfRule>
  </conditionalFormatting>
  <conditionalFormatting sqref="AA11:AA14">
    <cfRule type="cellIs" dxfId="105" priority="230" operator="equal">
      <formula>"Catastrófico"</formula>
    </cfRule>
    <cfRule type="cellIs" dxfId="104" priority="231" operator="equal">
      <formula>"Mayor"</formula>
    </cfRule>
    <cfRule type="cellIs" dxfId="103" priority="232" operator="equal">
      <formula>"Moderado"</formula>
    </cfRule>
    <cfRule type="cellIs" dxfId="102" priority="233" operator="equal">
      <formula>"Menor"</formula>
    </cfRule>
    <cfRule type="cellIs" dxfId="101" priority="234" operator="equal">
      <formula>"Leve"</formula>
    </cfRule>
  </conditionalFormatting>
  <conditionalFormatting sqref="AC11:AC14">
    <cfRule type="cellIs" dxfId="100" priority="226" operator="equal">
      <formula>"Extremo"</formula>
    </cfRule>
    <cfRule type="cellIs" dxfId="99" priority="227" operator="equal">
      <formula>"Alto"</formula>
    </cfRule>
    <cfRule type="cellIs" dxfId="98" priority="228" operator="equal">
      <formula>"Moderado"</formula>
    </cfRule>
    <cfRule type="cellIs" dxfId="97" priority="229" operator="equal">
      <formula>"Bajo"</formula>
    </cfRule>
  </conditionalFormatting>
  <conditionalFormatting sqref="H15">
    <cfRule type="cellIs" dxfId="96" priority="221" operator="equal">
      <formula>"Muy Alta"</formula>
    </cfRule>
    <cfRule type="cellIs" dxfId="95" priority="222" operator="equal">
      <formula>"Alta"</formula>
    </cfRule>
    <cfRule type="cellIs" dxfId="94" priority="223" operator="equal">
      <formula>"Media"</formula>
    </cfRule>
    <cfRule type="cellIs" dxfId="93" priority="224" operator="equal">
      <formula>"Baja"</formula>
    </cfRule>
    <cfRule type="cellIs" dxfId="92" priority="225" operator="equal">
      <formula>"Muy Baja"</formula>
    </cfRule>
  </conditionalFormatting>
  <conditionalFormatting sqref="N15">
    <cfRule type="cellIs" dxfId="91" priority="212" operator="equal">
      <formula>"Extremo"</formula>
    </cfRule>
    <cfRule type="cellIs" dxfId="90" priority="213" operator="equal">
      <formula>"Alto"</formula>
    </cfRule>
    <cfRule type="cellIs" dxfId="89" priority="214" operator="equal">
      <formula>"Moderado"</formula>
    </cfRule>
    <cfRule type="cellIs" dxfId="88" priority="215" operator="equal">
      <formula>"Bajo"</formula>
    </cfRule>
  </conditionalFormatting>
  <conditionalFormatting sqref="Y15:Y16">
    <cfRule type="cellIs" dxfId="87" priority="207" operator="equal">
      <formula>"Muy Alta"</formula>
    </cfRule>
    <cfRule type="cellIs" dxfId="86" priority="208" operator="equal">
      <formula>"Alta"</formula>
    </cfRule>
    <cfRule type="cellIs" dxfId="85" priority="209" operator="equal">
      <formula>"Media"</formula>
    </cfRule>
    <cfRule type="cellIs" dxfId="84" priority="210" operator="equal">
      <formula>"Baja"</formula>
    </cfRule>
    <cfRule type="cellIs" dxfId="83" priority="211" operator="equal">
      <formula>"Muy Baja"</formula>
    </cfRule>
  </conditionalFormatting>
  <conditionalFormatting sqref="AA15:AA16">
    <cfRule type="cellIs" dxfId="82" priority="202" operator="equal">
      <formula>"Catastrófico"</formula>
    </cfRule>
    <cfRule type="cellIs" dxfId="81" priority="203" operator="equal">
      <formula>"Mayor"</formula>
    </cfRule>
    <cfRule type="cellIs" dxfId="80" priority="204" operator="equal">
      <formula>"Moderado"</formula>
    </cfRule>
    <cfRule type="cellIs" dxfId="79" priority="205" operator="equal">
      <formula>"Menor"</formula>
    </cfRule>
    <cfRule type="cellIs" dxfId="78" priority="206" operator="equal">
      <formula>"Leve"</formula>
    </cfRule>
  </conditionalFormatting>
  <conditionalFormatting sqref="AC15:AC16">
    <cfRule type="cellIs" dxfId="77" priority="198" operator="equal">
      <formula>"Extremo"</formula>
    </cfRule>
    <cfRule type="cellIs" dxfId="76" priority="199" operator="equal">
      <formula>"Alto"</formula>
    </cfRule>
    <cfRule type="cellIs" dxfId="75" priority="200" operator="equal">
      <formula>"Moderado"</formula>
    </cfRule>
    <cfRule type="cellIs" dxfId="74" priority="201" operator="equal">
      <formula>"Bajo"</formula>
    </cfRule>
  </conditionalFormatting>
  <conditionalFormatting sqref="H17">
    <cfRule type="cellIs" dxfId="73" priority="193" operator="equal">
      <formula>"Muy Alta"</formula>
    </cfRule>
    <cfRule type="cellIs" dxfId="72" priority="194" operator="equal">
      <formula>"Alta"</formula>
    </cfRule>
    <cfRule type="cellIs" dxfId="71" priority="195" operator="equal">
      <formula>"Media"</formula>
    </cfRule>
    <cfRule type="cellIs" dxfId="70" priority="196" operator="equal">
      <formula>"Baja"</formula>
    </cfRule>
    <cfRule type="cellIs" dxfId="69" priority="197" operator="equal">
      <formula>"Muy Baja"</formula>
    </cfRule>
  </conditionalFormatting>
  <conditionalFormatting sqref="N17">
    <cfRule type="cellIs" dxfId="68" priority="184" operator="equal">
      <formula>"Extremo"</formula>
    </cfRule>
    <cfRule type="cellIs" dxfId="67" priority="185" operator="equal">
      <formula>"Alto"</formula>
    </cfRule>
    <cfRule type="cellIs" dxfId="66" priority="186" operator="equal">
      <formula>"Moderado"</formula>
    </cfRule>
    <cfRule type="cellIs" dxfId="65" priority="187" operator="equal">
      <formula>"Bajo"</formula>
    </cfRule>
  </conditionalFormatting>
  <conditionalFormatting sqref="H18">
    <cfRule type="cellIs" dxfId="64" priority="165" operator="equal">
      <formula>"Muy Alta"</formula>
    </cfRule>
    <cfRule type="cellIs" dxfId="63" priority="166" operator="equal">
      <formula>"Alta"</formula>
    </cfRule>
    <cfRule type="cellIs" dxfId="62" priority="167" operator="equal">
      <formula>"Media"</formula>
    </cfRule>
    <cfRule type="cellIs" dxfId="61" priority="168" operator="equal">
      <formula>"Baja"</formula>
    </cfRule>
    <cfRule type="cellIs" dxfId="60" priority="169" operator="equal">
      <formula>"Muy Baja"</formula>
    </cfRule>
  </conditionalFormatting>
  <conditionalFormatting sqref="N18">
    <cfRule type="cellIs" dxfId="59" priority="156" operator="equal">
      <formula>"Extremo"</formula>
    </cfRule>
    <cfRule type="cellIs" dxfId="58" priority="157" operator="equal">
      <formula>"Alto"</formula>
    </cfRule>
    <cfRule type="cellIs" dxfId="57" priority="158" operator="equal">
      <formula>"Moderado"</formula>
    </cfRule>
    <cfRule type="cellIs" dxfId="56" priority="159" operator="equal">
      <formula>"Bajo"</formula>
    </cfRule>
  </conditionalFormatting>
  <conditionalFormatting sqref="Y18:Y19">
    <cfRule type="cellIs" dxfId="55" priority="151" operator="equal">
      <formula>"Muy Alta"</formula>
    </cfRule>
    <cfRule type="cellIs" dxfId="54" priority="152" operator="equal">
      <formula>"Alta"</formula>
    </cfRule>
    <cfRule type="cellIs" dxfId="53" priority="153" operator="equal">
      <formula>"Media"</formula>
    </cfRule>
    <cfRule type="cellIs" dxfId="52" priority="154" operator="equal">
      <formula>"Baja"</formula>
    </cfRule>
    <cfRule type="cellIs" dxfId="51" priority="155" operator="equal">
      <formula>"Muy Baja"</formula>
    </cfRule>
  </conditionalFormatting>
  <conditionalFormatting sqref="AA18:AA19">
    <cfRule type="cellIs" dxfId="50" priority="146" operator="equal">
      <formula>"Catastrófico"</formula>
    </cfRule>
    <cfRule type="cellIs" dxfId="49" priority="147" operator="equal">
      <formula>"Mayor"</formula>
    </cfRule>
    <cfRule type="cellIs" dxfId="48" priority="148" operator="equal">
      <formula>"Moderado"</formula>
    </cfRule>
    <cfRule type="cellIs" dxfId="47" priority="149" operator="equal">
      <formula>"Menor"</formula>
    </cfRule>
    <cfRule type="cellIs" dxfId="46" priority="150" operator="equal">
      <formula>"Leve"</formula>
    </cfRule>
  </conditionalFormatting>
  <conditionalFormatting sqref="AC18:AC19">
    <cfRule type="cellIs" dxfId="45" priority="142" operator="equal">
      <formula>"Extremo"</formula>
    </cfRule>
    <cfRule type="cellIs" dxfId="44" priority="143" operator="equal">
      <formula>"Alto"</formula>
    </cfRule>
    <cfRule type="cellIs" dxfId="43" priority="144" operator="equal">
      <formula>"Moderado"</formula>
    </cfRule>
    <cfRule type="cellIs" dxfId="42" priority="145" operator="equal">
      <formula>"Bajo"</formula>
    </cfRule>
  </conditionalFormatting>
  <conditionalFormatting sqref="H20">
    <cfRule type="cellIs" dxfId="41" priority="137" operator="equal">
      <formula>"Muy Alta"</formula>
    </cfRule>
    <cfRule type="cellIs" dxfId="40" priority="138" operator="equal">
      <formula>"Alta"</formula>
    </cfRule>
    <cfRule type="cellIs" dxfId="39" priority="139" operator="equal">
      <formula>"Media"</formula>
    </cfRule>
    <cfRule type="cellIs" dxfId="38" priority="140" operator="equal">
      <formula>"Baja"</formula>
    </cfRule>
    <cfRule type="cellIs" dxfId="37" priority="141" operator="equal">
      <formula>"Muy Baja"</formula>
    </cfRule>
  </conditionalFormatting>
  <conditionalFormatting sqref="N20">
    <cfRule type="cellIs" dxfId="36" priority="128" operator="equal">
      <formula>"Extremo"</formula>
    </cfRule>
    <cfRule type="cellIs" dxfId="35" priority="129" operator="equal">
      <formula>"Alto"</formula>
    </cfRule>
    <cfRule type="cellIs" dxfId="34" priority="130" operator="equal">
      <formula>"Moderado"</formula>
    </cfRule>
    <cfRule type="cellIs" dxfId="33" priority="131" operator="equal">
      <formula>"Bajo"</formula>
    </cfRule>
  </conditionalFormatting>
  <conditionalFormatting sqref="H21">
    <cfRule type="cellIs" dxfId="32" priority="109" operator="equal">
      <formula>"Muy Alta"</formula>
    </cfRule>
    <cfRule type="cellIs" dxfId="31" priority="110" operator="equal">
      <formula>"Alta"</formula>
    </cfRule>
    <cfRule type="cellIs" dxfId="30" priority="111" operator="equal">
      <formula>"Media"</formula>
    </cfRule>
    <cfRule type="cellIs" dxfId="29" priority="112" operator="equal">
      <formula>"Baja"</formula>
    </cfRule>
    <cfRule type="cellIs" dxfId="28" priority="113" operator="equal">
      <formula>"Muy Baja"</formula>
    </cfRule>
  </conditionalFormatting>
  <conditionalFormatting sqref="N21">
    <cfRule type="cellIs" dxfId="27" priority="100" operator="equal">
      <formula>"Extremo"</formula>
    </cfRule>
    <cfRule type="cellIs" dxfId="26" priority="101" operator="equal">
      <formula>"Alto"</formula>
    </cfRule>
    <cfRule type="cellIs" dxfId="25" priority="102" operator="equal">
      <formula>"Moderado"</formula>
    </cfRule>
    <cfRule type="cellIs" dxfId="24" priority="103" operator="equal">
      <formula>"Bajo"</formula>
    </cfRule>
  </conditionalFormatting>
  <conditionalFormatting sqref="Y21:Y23">
    <cfRule type="cellIs" dxfId="23" priority="95" operator="equal">
      <formula>"Muy Alta"</formula>
    </cfRule>
    <cfRule type="cellIs" dxfId="22" priority="96" operator="equal">
      <formula>"Alta"</formula>
    </cfRule>
    <cfRule type="cellIs" dxfId="21" priority="97" operator="equal">
      <formula>"Media"</formula>
    </cfRule>
    <cfRule type="cellIs" dxfId="20" priority="98" operator="equal">
      <formula>"Baja"</formula>
    </cfRule>
    <cfRule type="cellIs" dxfId="19" priority="99" operator="equal">
      <formula>"Muy Baja"</formula>
    </cfRule>
  </conditionalFormatting>
  <conditionalFormatting sqref="AA21:AA23">
    <cfRule type="cellIs" dxfId="18" priority="90" operator="equal">
      <formula>"Catastrófico"</formula>
    </cfRule>
    <cfRule type="cellIs" dxfId="17" priority="91" operator="equal">
      <formula>"Mayor"</formula>
    </cfRule>
    <cfRule type="cellIs" dxfId="16" priority="92" operator="equal">
      <formula>"Moderado"</formula>
    </cfRule>
    <cfRule type="cellIs" dxfId="15" priority="93" operator="equal">
      <formula>"Menor"</formula>
    </cfRule>
    <cfRule type="cellIs" dxfId="14" priority="94" operator="equal">
      <formula>"Leve"</formula>
    </cfRule>
  </conditionalFormatting>
  <conditionalFormatting sqref="AC21:AC23">
    <cfRule type="cellIs" dxfId="13" priority="86" operator="equal">
      <formula>"Extremo"</formula>
    </cfRule>
    <cfRule type="cellIs" dxfId="12" priority="87" operator="equal">
      <formula>"Alto"</formula>
    </cfRule>
    <cfRule type="cellIs" dxfId="11" priority="88" operator="equal">
      <formula>"Moderado"</formula>
    </cfRule>
    <cfRule type="cellIs" dxfId="10" priority="89" operator="equal">
      <formula>"Bajo"</formula>
    </cfRule>
  </conditionalFormatting>
  <conditionalFormatting sqref="H24">
    <cfRule type="cellIs" dxfId="9" priority="81" operator="equal">
      <formula>"Muy Alta"</formula>
    </cfRule>
    <cfRule type="cellIs" dxfId="8" priority="82" operator="equal">
      <formula>"Alta"</formula>
    </cfRule>
    <cfRule type="cellIs" dxfId="7" priority="83" operator="equal">
      <formula>"Media"</formula>
    </cfRule>
    <cfRule type="cellIs" dxfId="6" priority="84" operator="equal">
      <formula>"Baja"</formula>
    </cfRule>
    <cfRule type="cellIs" dxfId="5" priority="85" operator="equal">
      <formula>"Muy Baja"</formula>
    </cfRule>
  </conditionalFormatting>
  <conditionalFormatting sqref="N24">
    <cfRule type="cellIs" dxfId="4" priority="72" operator="equal">
      <formula>"Extremo"</formula>
    </cfRule>
    <cfRule type="cellIs" dxfId="3" priority="73" operator="equal">
      <formula>"Alto"</formula>
    </cfRule>
    <cfRule type="cellIs" dxfId="2" priority="74" operator="equal">
      <formula>"Moderado"</formula>
    </cfRule>
    <cfRule type="cellIs" dxfId="1" priority="75" operator="equal">
      <formula>"Bajo"</formula>
    </cfRule>
  </conditionalFormatting>
  <conditionalFormatting sqref="K10:K24">
    <cfRule type="containsText" dxfId="0" priority="1" operator="containsText" text="❌">
      <formula>NOT(ISERROR(SEARCH("❌",K10)))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'Opciones Tratamiento'!$B$9:$B$10</xm:f>
          </x14:formula1>
          <xm:sqref>AK24 AK10:AK11 AK13:AK22</xm:sqref>
        </x14:dataValidation>
        <x14:dataValidation type="list" allowBlank="1" showInputMessage="1" showErrorMessage="1">
          <x14:formula1>
            <xm:f>'Tabla Valoración controles'!$D$4:$D$6</xm:f>
          </x14:formula1>
          <xm:sqref>R10:R24</xm:sqref>
        </x14:dataValidation>
        <x14:dataValidation type="list" allowBlank="1" showInputMessage="1" showErrorMessage="1">
          <x14:formula1>
            <xm:f>'Tabla Valoración controles'!$D$7:$D$8</xm:f>
          </x14:formula1>
          <xm:sqref>S10:S24</xm:sqref>
        </x14:dataValidation>
        <x14:dataValidation type="list" allowBlank="1" showInputMessage="1" showErrorMessage="1">
          <x14:formula1>
            <xm:f>'Tabla Valoración controles'!$D$9:$D$10</xm:f>
          </x14:formula1>
          <xm:sqref>U10:U24</xm:sqref>
        </x14:dataValidation>
        <x14:dataValidation type="list" allowBlank="1" showInputMessage="1" showErrorMessage="1">
          <x14:formula1>
            <xm:f>'Tabla Valoración controles'!$D$11:$D$12</xm:f>
          </x14:formula1>
          <xm:sqref>V10:V24</xm:sqref>
        </x14:dataValidation>
        <x14:dataValidation type="list" allowBlank="1" showInputMessage="1" showErrorMessage="1">
          <x14:formula1>
            <xm:f>'Tabla Valoración controles'!$D$13:$D$14</xm:f>
          </x14:formula1>
          <xm:sqref>W10:W24</xm:sqref>
        </x14:dataValidation>
        <x14:dataValidation type="list" allowBlank="1" showInputMessage="1" showErrorMessage="1">
          <x14:formula1>
            <xm:f>'Opciones Tratamiento'!$B$13:$B$19</xm:f>
          </x14:formula1>
          <xm:sqref>F10:F24</xm:sqref>
        </x14:dataValidation>
        <x14:dataValidation type="list" allowBlank="1" showInputMessage="1" showErrorMessage="1">
          <x14:formula1>
            <xm:f>'Opciones Tratamiento'!$E$2:$E$4</xm:f>
          </x14:formula1>
          <xm:sqref>B10:B24</xm:sqref>
        </x14:dataValidation>
        <x14:dataValidation type="list" allowBlank="1" showInputMessage="1" showErrorMessage="1">
          <x14:formula1>
            <xm:f>'Opciones Tratamiento'!$B$2:$B$5</xm:f>
          </x14:formula1>
          <xm:sqref>AD10:AD24</xm:sqref>
        </x14:dataValidation>
        <x14:dataValidation type="list" allowBlank="1" showInputMessage="1" showErrorMessage="1">
          <x14:formula1>
            <xm:f>'Tabla Impacto'!$F$210:$F$221</xm:f>
          </x14:formula1>
          <xm:sqref>J10:J24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AE10:AE11 AE13:AE24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AF10:AF24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AG10:AG24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AH10</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AI10:AI24 AJ10:AJ11 AJ13:AJ24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50" zoomScaleNormal="50" workbookViewId="0">
      <selection activeCell="L12" sqref="L12:M13"/>
    </sheetView>
  </sheetViews>
  <sheetFormatPr baseColWidth="10" defaultRowHeight="14.6" x14ac:dyDescent="0.4"/>
  <cols>
    <col min="2" max="39" width="5.69140625" customWidth="1"/>
    <col min="41" max="46" width="5.69140625" customWidth="1"/>
  </cols>
  <sheetData>
    <row r="1" spans="1:99" x14ac:dyDescent="0.4">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row>
    <row r="2" spans="1:99" ht="18" customHeight="1" x14ac:dyDescent="0.4">
      <c r="A2" s="80"/>
      <c r="B2" s="211" t="s">
        <v>160</v>
      </c>
      <c r="C2" s="211"/>
      <c r="D2" s="211"/>
      <c r="E2" s="211"/>
      <c r="F2" s="211"/>
      <c r="G2" s="211"/>
      <c r="H2" s="211"/>
      <c r="I2" s="211"/>
      <c r="J2" s="249" t="s">
        <v>2</v>
      </c>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row>
    <row r="3" spans="1:99" ht="18.75" customHeight="1" x14ac:dyDescent="0.4">
      <c r="A3" s="80"/>
      <c r="B3" s="211"/>
      <c r="C3" s="211"/>
      <c r="D3" s="211"/>
      <c r="E3" s="211"/>
      <c r="F3" s="211"/>
      <c r="G3" s="211"/>
      <c r="H3" s="211"/>
      <c r="I3" s="211"/>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row>
    <row r="4" spans="1:99" ht="15" customHeight="1" x14ac:dyDescent="0.4">
      <c r="A4" s="80"/>
      <c r="B4" s="211"/>
      <c r="C4" s="211"/>
      <c r="D4" s="211"/>
      <c r="E4" s="211"/>
      <c r="F4" s="211"/>
      <c r="G4" s="211"/>
      <c r="H4" s="211"/>
      <c r="I4" s="211"/>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row>
    <row r="5" spans="1:99" ht="15" thickBot="1" x14ac:dyDescent="0.45">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row>
    <row r="6" spans="1:99" ht="15" customHeight="1" x14ac:dyDescent="0.4">
      <c r="A6" s="80"/>
      <c r="B6" s="261" t="s">
        <v>4</v>
      </c>
      <c r="C6" s="261"/>
      <c r="D6" s="262"/>
      <c r="E6" s="250" t="s">
        <v>115</v>
      </c>
      <c r="F6" s="251"/>
      <c r="G6" s="251"/>
      <c r="H6" s="251"/>
      <c r="I6" s="252"/>
      <c r="J6" s="246" t="str">
        <f ca="1">IF(AND('Mapa final'!$H$10="Muy Alta",'Mapa final'!$L$10="Leve"),CONCATENATE("R",'Mapa final'!$A$10),"")</f>
        <v/>
      </c>
      <c r="K6" s="247"/>
      <c r="L6" s="247" t="str">
        <f ca="1">IF(AND('Mapa final'!$H$11="Muy Alta",'Mapa final'!$L$11="Leve"),CONCATENATE("R",'Mapa final'!$A$11),"")</f>
        <v/>
      </c>
      <c r="M6" s="247"/>
      <c r="N6" s="247" t="str">
        <f ca="1">IF(AND('Mapa final'!$H$15="Muy Alta",'Mapa final'!$L$15="Leve"),CONCATENATE("R",'Mapa final'!$A$15),"")</f>
        <v/>
      </c>
      <c r="O6" s="248"/>
      <c r="P6" s="246" t="str">
        <f ca="1">IF(AND('Mapa final'!$H$10="Muy Alta",'Mapa final'!$L$10="Menor"),CONCATENATE("R",'Mapa final'!$A$10),"")</f>
        <v/>
      </c>
      <c r="Q6" s="247"/>
      <c r="R6" s="247" t="str">
        <f ca="1">IF(AND('Mapa final'!$H$11="Muy Alta",'Mapa final'!$L$11="Menor"),CONCATENATE("R",'Mapa final'!$A$11),"")</f>
        <v/>
      </c>
      <c r="S6" s="247"/>
      <c r="T6" s="247" t="str">
        <f ca="1">IF(AND('Mapa final'!$H$15="Muy Alta",'Mapa final'!$L$15="Menor"),CONCATENATE("R",'Mapa final'!$A$15),"")</f>
        <v/>
      </c>
      <c r="U6" s="248"/>
      <c r="V6" s="246" t="str">
        <f ca="1">IF(AND('Mapa final'!$H$10="Muy Alta",'Mapa final'!$L$10="Moderado"),CONCATENATE("R",'Mapa final'!$A$10),"")</f>
        <v/>
      </c>
      <c r="W6" s="247"/>
      <c r="X6" s="247" t="str">
        <f ca="1">IF(AND('Mapa final'!$H$11="Muy Alta",'Mapa final'!$L$11="Moderado"),CONCATENATE("R",'Mapa final'!$A$11),"")</f>
        <v/>
      </c>
      <c r="Y6" s="247"/>
      <c r="Z6" s="247" t="str">
        <f ca="1">IF(AND('Mapa final'!$H$15="Muy Alta",'Mapa final'!$L$15="Moderado"),CONCATENATE("R",'Mapa final'!$A$15),"")</f>
        <v/>
      </c>
      <c r="AA6" s="248"/>
      <c r="AB6" s="246" t="str">
        <f ca="1">IF(AND('Mapa final'!$H$10="Muy Alta",'Mapa final'!$L$10="Mayor"),CONCATENATE("R",'Mapa final'!$A$10),"")</f>
        <v/>
      </c>
      <c r="AC6" s="247"/>
      <c r="AD6" s="247" t="str">
        <f ca="1">IF(AND('Mapa final'!$H$11="Muy Alta",'Mapa final'!$L$11="Mayor"),CONCATENATE("R",'Mapa final'!$A$11),"")</f>
        <v/>
      </c>
      <c r="AE6" s="247"/>
      <c r="AF6" s="247" t="str">
        <f ca="1">IF(AND('Mapa final'!$H$15="Muy Alta",'Mapa final'!$L$15="Mayor"),CONCATENATE("R",'Mapa final'!$A$15),"")</f>
        <v/>
      </c>
      <c r="AG6" s="248"/>
      <c r="AH6" s="236" t="str">
        <f ca="1">IF(AND('Mapa final'!$H$10="Muy Alta",'Mapa final'!$L$10="Catastrófico"),CONCATENATE("R",'Mapa final'!$A$10),"")</f>
        <v/>
      </c>
      <c r="AI6" s="237"/>
      <c r="AJ6" s="237" t="str">
        <f ca="1">IF(AND('Mapa final'!$H$11="Muy Alta",'Mapa final'!$L$11="Catastrófico"),CONCATENATE("R",'Mapa final'!$A$11),"")</f>
        <v/>
      </c>
      <c r="AK6" s="237"/>
      <c r="AL6" s="237" t="str">
        <f ca="1">IF(AND('Mapa final'!$H$15="Muy Alta",'Mapa final'!$L$15="Catastrófico"),CONCATENATE("R",'Mapa final'!$A$15),"")</f>
        <v/>
      </c>
      <c r="AM6" s="238"/>
      <c r="AO6" s="263" t="s">
        <v>78</v>
      </c>
      <c r="AP6" s="264"/>
      <c r="AQ6" s="264"/>
      <c r="AR6" s="264"/>
      <c r="AS6" s="264"/>
      <c r="AT6" s="265"/>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row>
    <row r="7" spans="1:99" ht="15" customHeight="1" x14ac:dyDescent="0.4">
      <c r="A7" s="80"/>
      <c r="B7" s="261"/>
      <c r="C7" s="261"/>
      <c r="D7" s="262"/>
      <c r="E7" s="253"/>
      <c r="F7" s="254"/>
      <c r="G7" s="254"/>
      <c r="H7" s="254"/>
      <c r="I7" s="255"/>
      <c r="J7" s="239"/>
      <c r="K7" s="240"/>
      <c r="L7" s="240"/>
      <c r="M7" s="240"/>
      <c r="N7" s="240"/>
      <c r="O7" s="242"/>
      <c r="P7" s="239"/>
      <c r="Q7" s="240"/>
      <c r="R7" s="240"/>
      <c r="S7" s="240"/>
      <c r="T7" s="240"/>
      <c r="U7" s="242"/>
      <c r="V7" s="239"/>
      <c r="W7" s="240"/>
      <c r="X7" s="240"/>
      <c r="Y7" s="240"/>
      <c r="Z7" s="240"/>
      <c r="AA7" s="242"/>
      <c r="AB7" s="239"/>
      <c r="AC7" s="240"/>
      <c r="AD7" s="240"/>
      <c r="AE7" s="240"/>
      <c r="AF7" s="240"/>
      <c r="AG7" s="242"/>
      <c r="AH7" s="230"/>
      <c r="AI7" s="231"/>
      <c r="AJ7" s="231"/>
      <c r="AK7" s="231"/>
      <c r="AL7" s="231"/>
      <c r="AM7" s="232"/>
      <c r="AN7" s="80"/>
      <c r="AO7" s="266"/>
      <c r="AP7" s="267"/>
      <c r="AQ7" s="267"/>
      <c r="AR7" s="267"/>
      <c r="AS7" s="267"/>
      <c r="AT7" s="268"/>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row>
    <row r="8" spans="1:99" ht="15" customHeight="1" x14ac:dyDescent="0.4">
      <c r="A8" s="80"/>
      <c r="B8" s="261"/>
      <c r="C8" s="261"/>
      <c r="D8" s="262"/>
      <c r="E8" s="253"/>
      <c r="F8" s="254"/>
      <c r="G8" s="254"/>
      <c r="H8" s="254"/>
      <c r="I8" s="255"/>
      <c r="J8" s="239" t="str">
        <f ca="1">IF(AND('Mapa final'!$H$17="Muy Alta",'Mapa final'!$L$17="Leve"),CONCATENATE("R",'Mapa final'!$A$17),"")</f>
        <v/>
      </c>
      <c r="K8" s="240"/>
      <c r="L8" s="241" t="str">
        <f ca="1">IF(AND('Mapa final'!$H$18="Muy Alta",'Mapa final'!$L$18="Leve"),CONCATENATE("R",'Mapa final'!$A$18),"")</f>
        <v/>
      </c>
      <c r="M8" s="241"/>
      <c r="N8" s="241" t="str">
        <f ca="1">IF(AND('Mapa final'!$H$20="Muy Alta",'Mapa final'!$L$20="Leve"),CONCATENATE("R",'Mapa final'!$A$20),"")</f>
        <v/>
      </c>
      <c r="O8" s="242"/>
      <c r="P8" s="239" t="str">
        <f ca="1">IF(AND('Mapa final'!$H$17="Muy Alta",'Mapa final'!$L$17="Menor"),CONCATENATE("R",'Mapa final'!$A$17),"")</f>
        <v/>
      </c>
      <c r="Q8" s="240"/>
      <c r="R8" s="241" t="str">
        <f ca="1">IF(AND('Mapa final'!$H$18="Muy Alta",'Mapa final'!$L$18="Menor"),CONCATENATE("R",'Mapa final'!$A$18),"")</f>
        <v/>
      </c>
      <c r="S8" s="241"/>
      <c r="T8" s="241" t="str">
        <f ca="1">IF(AND('Mapa final'!$H$20="Muy Alta",'Mapa final'!$L$20="Menor"),CONCATENATE("R",'Mapa final'!$A$20),"")</f>
        <v/>
      </c>
      <c r="U8" s="242"/>
      <c r="V8" s="239" t="str">
        <f ca="1">IF(AND('Mapa final'!$H$17="Muy Alta",'Mapa final'!$L$17="Moderado"),CONCATENATE("R",'Mapa final'!$A$17),"")</f>
        <v/>
      </c>
      <c r="W8" s="240"/>
      <c r="X8" s="241" t="str">
        <f ca="1">IF(AND('Mapa final'!$H$18="Muy Alta",'Mapa final'!$L$18="Moderado"),CONCATENATE("R",'Mapa final'!$A$18),"")</f>
        <v/>
      </c>
      <c r="Y8" s="241"/>
      <c r="Z8" s="241" t="str">
        <f ca="1">IF(AND('Mapa final'!$H$20="Muy Alta",'Mapa final'!$L$20="Moderado"),CONCATENATE("R",'Mapa final'!$A$20),"")</f>
        <v/>
      </c>
      <c r="AA8" s="242"/>
      <c r="AB8" s="239" t="str">
        <f ca="1">IF(AND('Mapa final'!$H$17="Muy Alta",'Mapa final'!$L$17="Mayor"),CONCATENATE("R",'Mapa final'!$A$17),"")</f>
        <v/>
      </c>
      <c r="AC8" s="240"/>
      <c r="AD8" s="241" t="str">
        <f ca="1">IF(AND('Mapa final'!$H$18="Muy Alta",'Mapa final'!$L$18="Mayor"),CONCATENATE("R",'Mapa final'!$A$18),"")</f>
        <v/>
      </c>
      <c r="AE8" s="241"/>
      <c r="AF8" s="241" t="str">
        <f ca="1">IF(AND('Mapa final'!$H$20="Muy Alta",'Mapa final'!$L$20="Mayor"),CONCATENATE("R",'Mapa final'!$A$20),"")</f>
        <v/>
      </c>
      <c r="AG8" s="242"/>
      <c r="AH8" s="230" t="str">
        <f ca="1">IF(AND('Mapa final'!$H$17="Muy Alta",'Mapa final'!$L$17="Catastrófico"),CONCATENATE("R",'Mapa final'!$A$17),"")</f>
        <v/>
      </c>
      <c r="AI8" s="231"/>
      <c r="AJ8" s="231" t="str">
        <f ca="1">IF(AND('Mapa final'!$H$18="Muy Alta",'Mapa final'!$L$18="Catastrófico"),CONCATENATE("R",'Mapa final'!$A$18),"")</f>
        <v/>
      </c>
      <c r="AK8" s="231"/>
      <c r="AL8" s="231" t="str">
        <f ca="1">IF(AND('Mapa final'!$H$20="Muy Alta",'Mapa final'!$L$20="Catastrófico"),CONCATENATE("R",'Mapa final'!$A$20),"")</f>
        <v/>
      </c>
      <c r="AM8" s="232"/>
      <c r="AN8" s="80"/>
      <c r="AO8" s="266"/>
      <c r="AP8" s="267"/>
      <c r="AQ8" s="267"/>
      <c r="AR8" s="267"/>
      <c r="AS8" s="267"/>
      <c r="AT8" s="268"/>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row>
    <row r="9" spans="1:99" ht="15" customHeight="1" x14ac:dyDescent="0.4">
      <c r="A9" s="80"/>
      <c r="B9" s="261"/>
      <c r="C9" s="261"/>
      <c r="D9" s="262"/>
      <c r="E9" s="253"/>
      <c r="F9" s="254"/>
      <c r="G9" s="254"/>
      <c r="H9" s="254"/>
      <c r="I9" s="255"/>
      <c r="J9" s="239"/>
      <c r="K9" s="240"/>
      <c r="L9" s="241"/>
      <c r="M9" s="241"/>
      <c r="N9" s="241"/>
      <c r="O9" s="242"/>
      <c r="P9" s="239"/>
      <c r="Q9" s="240"/>
      <c r="R9" s="241"/>
      <c r="S9" s="241"/>
      <c r="T9" s="241"/>
      <c r="U9" s="242"/>
      <c r="V9" s="239"/>
      <c r="W9" s="240"/>
      <c r="X9" s="241"/>
      <c r="Y9" s="241"/>
      <c r="Z9" s="241"/>
      <c r="AA9" s="242"/>
      <c r="AB9" s="239"/>
      <c r="AC9" s="240"/>
      <c r="AD9" s="241"/>
      <c r="AE9" s="241"/>
      <c r="AF9" s="241"/>
      <c r="AG9" s="242"/>
      <c r="AH9" s="230"/>
      <c r="AI9" s="231"/>
      <c r="AJ9" s="231"/>
      <c r="AK9" s="231"/>
      <c r="AL9" s="231"/>
      <c r="AM9" s="232"/>
      <c r="AN9" s="80"/>
      <c r="AO9" s="266"/>
      <c r="AP9" s="267"/>
      <c r="AQ9" s="267"/>
      <c r="AR9" s="267"/>
      <c r="AS9" s="267"/>
      <c r="AT9" s="268"/>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row>
    <row r="10" spans="1:99" ht="15" customHeight="1" x14ac:dyDescent="0.4">
      <c r="A10" s="80"/>
      <c r="B10" s="261"/>
      <c r="C10" s="261"/>
      <c r="D10" s="262"/>
      <c r="E10" s="253"/>
      <c r="F10" s="254"/>
      <c r="G10" s="254"/>
      <c r="H10" s="254"/>
      <c r="I10" s="255"/>
      <c r="J10" s="239" t="str">
        <f ca="1">IF(AND('Mapa final'!$H$21="Muy Alta",'Mapa final'!$L$21="Leve"),CONCATENATE("R",'Mapa final'!$A$21),"")</f>
        <v/>
      </c>
      <c r="K10" s="240"/>
      <c r="L10" s="241" t="str">
        <f ca="1">IF(AND('Mapa final'!$H$24="Muy Alta",'Mapa final'!$L$24="Leve"),CONCATENATE("R",'Mapa final'!$A$24),"")</f>
        <v/>
      </c>
      <c r="M10" s="241"/>
      <c r="N10" s="241" t="e">
        <f>IF(AND('Mapa final'!#REF!="Muy Alta",'Mapa final'!#REF!="Leve"),CONCATENATE("R",'Mapa final'!#REF!),"")</f>
        <v>#REF!</v>
      </c>
      <c r="O10" s="242"/>
      <c r="P10" s="239" t="str">
        <f ca="1">IF(AND('Mapa final'!$H$21="Muy Alta",'Mapa final'!$L$21="Menor"),CONCATENATE("R",'Mapa final'!$A$21),"")</f>
        <v/>
      </c>
      <c r="Q10" s="240"/>
      <c r="R10" s="241" t="str">
        <f ca="1">IF(AND('Mapa final'!$H$24="Muy Alta",'Mapa final'!$L$24="Menor"),CONCATENATE("R",'Mapa final'!$A$24),"")</f>
        <v/>
      </c>
      <c r="S10" s="241"/>
      <c r="T10" s="241" t="e">
        <f>IF(AND('Mapa final'!#REF!="Muy Alta",'Mapa final'!#REF!="Menor"),CONCATENATE("R",'Mapa final'!#REF!),"")</f>
        <v>#REF!</v>
      </c>
      <c r="U10" s="242"/>
      <c r="V10" s="239" t="str">
        <f ca="1">IF(AND('Mapa final'!$H$21="Muy Alta",'Mapa final'!$L$21="Moderado"),CONCATENATE("R",'Mapa final'!$A$21),"")</f>
        <v/>
      </c>
      <c r="W10" s="240"/>
      <c r="X10" s="241" t="str">
        <f ca="1">IF(AND('Mapa final'!$H$24="Muy Alta",'Mapa final'!$L$24="Moderado"),CONCATENATE("R",'Mapa final'!$A$24),"")</f>
        <v/>
      </c>
      <c r="Y10" s="241"/>
      <c r="Z10" s="241" t="e">
        <f>IF(AND('Mapa final'!#REF!="Muy Alta",'Mapa final'!#REF!="Moderado"),CONCATENATE("R",'Mapa final'!#REF!),"")</f>
        <v>#REF!</v>
      </c>
      <c r="AA10" s="242"/>
      <c r="AB10" s="239" t="str">
        <f ca="1">IF(AND('Mapa final'!$H$21="Muy Alta",'Mapa final'!$L$21="Mayor"),CONCATENATE("R",'Mapa final'!$A$21),"")</f>
        <v/>
      </c>
      <c r="AC10" s="240"/>
      <c r="AD10" s="241" t="str">
        <f ca="1">IF(AND('Mapa final'!$H$24="Muy Alta",'Mapa final'!$L$24="Mayor"),CONCATENATE("R",'Mapa final'!$A$24),"")</f>
        <v/>
      </c>
      <c r="AE10" s="241"/>
      <c r="AF10" s="241" t="e">
        <f>IF(AND('Mapa final'!#REF!="Muy Alta",'Mapa final'!#REF!="Mayor"),CONCATENATE("R",'Mapa final'!#REF!),"")</f>
        <v>#REF!</v>
      </c>
      <c r="AG10" s="242"/>
      <c r="AH10" s="230" t="str">
        <f ca="1">IF(AND('Mapa final'!$H$21="Muy Alta",'Mapa final'!$L$21="Catastrófico"),CONCATENATE("R",'Mapa final'!$A$21),"")</f>
        <v/>
      </c>
      <c r="AI10" s="231"/>
      <c r="AJ10" s="231" t="str">
        <f ca="1">IF(AND('Mapa final'!$H$24="Muy Alta",'Mapa final'!$L$24="Catastrófico"),CONCATENATE("R",'Mapa final'!$A$24),"")</f>
        <v/>
      </c>
      <c r="AK10" s="231"/>
      <c r="AL10" s="231" t="e">
        <f>IF(AND('Mapa final'!#REF!="Muy Alta",'Mapa final'!#REF!="Catastrófico"),CONCATENATE("R",'Mapa final'!#REF!),"")</f>
        <v>#REF!</v>
      </c>
      <c r="AM10" s="232"/>
      <c r="AN10" s="80"/>
      <c r="AO10" s="266"/>
      <c r="AP10" s="267"/>
      <c r="AQ10" s="267"/>
      <c r="AR10" s="267"/>
      <c r="AS10" s="267"/>
      <c r="AT10" s="268"/>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row>
    <row r="11" spans="1:99" ht="15" customHeight="1" x14ac:dyDescent="0.4">
      <c r="A11" s="80"/>
      <c r="B11" s="261"/>
      <c r="C11" s="261"/>
      <c r="D11" s="262"/>
      <c r="E11" s="253"/>
      <c r="F11" s="254"/>
      <c r="G11" s="254"/>
      <c r="H11" s="254"/>
      <c r="I11" s="255"/>
      <c r="J11" s="239"/>
      <c r="K11" s="240"/>
      <c r="L11" s="241"/>
      <c r="M11" s="241"/>
      <c r="N11" s="241"/>
      <c r="O11" s="242"/>
      <c r="P11" s="239"/>
      <c r="Q11" s="240"/>
      <c r="R11" s="241"/>
      <c r="S11" s="241"/>
      <c r="T11" s="241"/>
      <c r="U11" s="242"/>
      <c r="V11" s="239"/>
      <c r="W11" s="240"/>
      <c r="X11" s="241"/>
      <c r="Y11" s="241"/>
      <c r="Z11" s="241"/>
      <c r="AA11" s="242"/>
      <c r="AB11" s="239"/>
      <c r="AC11" s="240"/>
      <c r="AD11" s="241"/>
      <c r="AE11" s="241"/>
      <c r="AF11" s="241"/>
      <c r="AG11" s="242"/>
      <c r="AH11" s="230"/>
      <c r="AI11" s="231"/>
      <c r="AJ11" s="231"/>
      <c r="AK11" s="231"/>
      <c r="AL11" s="231"/>
      <c r="AM11" s="232"/>
      <c r="AN11" s="80"/>
      <c r="AO11" s="266"/>
      <c r="AP11" s="267"/>
      <c r="AQ11" s="267"/>
      <c r="AR11" s="267"/>
      <c r="AS11" s="267"/>
      <c r="AT11" s="268"/>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row>
    <row r="12" spans="1:99" ht="15" customHeight="1" x14ac:dyDescent="0.4">
      <c r="A12" s="80"/>
      <c r="B12" s="261"/>
      <c r="C12" s="261"/>
      <c r="D12" s="262"/>
      <c r="E12" s="253"/>
      <c r="F12" s="254"/>
      <c r="G12" s="254"/>
      <c r="H12" s="254"/>
      <c r="I12" s="255"/>
      <c r="J12" s="239" t="e">
        <f>IF(AND('Mapa final'!#REF!="Muy Alta",'Mapa final'!#REF!="Leve"),CONCATENATE("R",'Mapa final'!#REF!),"")</f>
        <v>#REF!</v>
      </c>
      <c r="K12" s="240"/>
      <c r="L12" s="241" t="str">
        <f>IF(AND('Mapa final'!$H$25="Muy Alta",'Mapa final'!$L$25="Leve"),CONCATENATE("R",'Mapa final'!$A$25),"")</f>
        <v/>
      </c>
      <c r="M12" s="241"/>
      <c r="N12" s="241" t="str">
        <f>IF(AND('Mapa final'!$H$31="Muy Alta",'Mapa final'!$L$31="Leve"),CONCATENATE("R",'Mapa final'!$A$31),"")</f>
        <v/>
      </c>
      <c r="O12" s="242"/>
      <c r="P12" s="239" t="e">
        <f>IF(AND('Mapa final'!#REF!="Muy Alta",'Mapa final'!#REF!="Menor"),CONCATENATE("R",'Mapa final'!#REF!),"")</f>
        <v>#REF!</v>
      </c>
      <c r="Q12" s="240"/>
      <c r="R12" s="241" t="str">
        <f>IF(AND('Mapa final'!$H$25="Muy Alta",'Mapa final'!$L$25="Menor"),CONCATENATE("R",'Mapa final'!$A$25),"")</f>
        <v/>
      </c>
      <c r="S12" s="241"/>
      <c r="T12" s="241" t="str">
        <f>IF(AND('Mapa final'!$H$31="Muy Alta",'Mapa final'!$L$31="Menor"),CONCATENATE("R",'Mapa final'!$A$31),"")</f>
        <v/>
      </c>
      <c r="U12" s="242"/>
      <c r="V12" s="239" t="e">
        <f>IF(AND('Mapa final'!#REF!="Muy Alta",'Mapa final'!#REF!="Moderado"),CONCATENATE("R",'Mapa final'!#REF!),"")</f>
        <v>#REF!</v>
      </c>
      <c r="W12" s="240"/>
      <c r="X12" s="241" t="str">
        <f>IF(AND('Mapa final'!$H$25="Muy Alta",'Mapa final'!$L$25="Moderado"),CONCATENATE("R",'Mapa final'!$A$25),"")</f>
        <v/>
      </c>
      <c r="Y12" s="241"/>
      <c r="Z12" s="241" t="str">
        <f>IF(AND('Mapa final'!$H$31="Muy Alta",'Mapa final'!$L$31="Moderado"),CONCATENATE("R",'Mapa final'!$A$31),"")</f>
        <v/>
      </c>
      <c r="AA12" s="242"/>
      <c r="AB12" s="239" t="e">
        <f>IF(AND('Mapa final'!#REF!="Muy Alta",'Mapa final'!#REF!="Mayor"),CONCATENATE("R",'Mapa final'!#REF!),"")</f>
        <v>#REF!</v>
      </c>
      <c r="AC12" s="240"/>
      <c r="AD12" s="241" t="str">
        <f>IF(AND('Mapa final'!$H$25="Muy Alta",'Mapa final'!$L$25="Mayor"),CONCATENATE("R",'Mapa final'!$A$25),"")</f>
        <v/>
      </c>
      <c r="AE12" s="241"/>
      <c r="AF12" s="241" t="str">
        <f>IF(AND('Mapa final'!$H$31="Muy Alta",'Mapa final'!$L$31="Mayor"),CONCATENATE("R",'Mapa final'!$A$31),"")</f>
        <v/>
      </c>
      <c r="AG12" s="242"/>
      <c r="AH12" s="230" t="e">
        <f>IF(AND('Mapa final'!#REF!="Muy Alta",'Mapa final'!#REF!="Catastrófico"),CONCATENATE("R",'Mapa final'!#REF!),"")</f>
        <v>#REF!</v>
      </c>
      <c r="AI12" s="231"/>
      <c r="AJ12" s="231" t="str">
        <f>IF(AND('Mapa final'!$H$25="Muy Alta",'Mapa final'!$L$25="Catastrófico"),CONCATENATE("R",'Mapa final'!$A$25),"")</f>
        <v/>
      </c>
      <c r="AK12" s="231"/>
      <c r="AL12" s="231" t="str">
        <f>IF(AND('Mapa final'!$H$31="Muy Alta",'Mapa final'!$L$31="Catastrófico"),CONCATENATE("R",'Mapa final'!$A$31),"")</f>
        <v/>
      </c>
      <c r="AM12" s="232"/>
      <c r="AN12" s="80"/>
      <c r="AO12" s="266"/>
      <c r="AP12" s="267"/>
      <c r="AQ12" s="267"/>
      <c r="AR12" s="267"/>
      <c r="AS12" s="267"/>
      <c r="AT12" s="268"/>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row>
    <row r="13" spans="1:99" ht="15.75" customHeight="1" thickBot="1" x14ac:dyDescent="0.45">
      <c r="A13" s="80"/>
      <c r="B13" s="261"/>
      <c r="C13" s="261"/>
      <c r="D13" s="262"/>
      <c r="E13" s="256"/>
      <c r="F13" s="257"/>
      <c r="G13" s="257"/>
      <c r="H13" s="257"/>
      <c r="I13" s="258"/>
      <c r="J13" s="239"/>
      <c r="K13" s="240"/>
      <c r="L13" s="240"/>
      <c r="M13" s="240"/>
      <c r="N13" s="240"/>
      <c r="O13" s="242"/>
      <c r="P13" s="239"/>
      <c r="Q13" s="240"/>
      <c r="R13" s="240"/>
      <c r="S13" s="240"/>
      <c r="T13" s="240"/>
      <c r="U13" s="242"/>
      <c r="V13" s="239"/>
      <c r="W13" s="240"/>
      <c r="X13" s="240"/>
      <c r="Y13" s="240"/>
      <c r="Z13" s="240"/>
      <c r="AA13" s="242"/>
      <c r="AB13" s="239"/>
      <c r="AC13" s="240"/>
      <c r="AD13" s="240"/>
      <c r="AE13" s="240"/>
      <c r="AF13" s="240"/>
      <c r="AG13" s="242"/>
      <c r="AH13" s="233"/>
      <c r="AI13" s="234"/>
      <c r="AJ13" s="234"/>
      <c r="AK13" s="234"/>
      <c r="AL13" s="234"/>
      <c r="AM13" s="235"/>
      <c r="AN13" s="80"/>
      <c r="AO13" s="269"/>
      <c r="AP13" s="270"/>
      <c r="AQ13" s="270"/>
      <c r="AR13" s="270"/>
      <c r="AS13" s="270"/>
      <c r="AT13" s="271"/>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row>
    <row r="14" spans="1:99" ht="15" customHeight="1" x14ac:dyDescent="0.4">
      <c r="A14" s="80"/>
      <c r="B14" s="261"/>
      <c r="C14" s="261"/>
      <c r="D14" s="262"/>
      <c r="E14" s="250" t="s">
        <v>114</v>
      </c>
      <c r="F14" s="251"/>
      <c r="G14" s="251"/>
      <c r="H14" s="251"/>
      <c r="I14" s="251"/>
      <c r="J14" s="227" t="str">
        <f ca="1">IF(AND('Mapa final'!$H$10="Alta",'Mapa final'!$L$10="Leve"),CONCATENATE("R",'Mapa final'!$A$10),"")</f>
        <v/>
      </c>
      <c r="K14" s="228"/>
      <c r="L14" s="228" t="str">
        <f ca="1">IF(AND('Mapa final'!$H$11="Alta",'Mapa final'!$L$11="Leve"),CONCATENATE("R",'Mapa final'!$A$11),"")</f>
        <v/>
      </c>
      <c r="M14" s="228"/>
      <c r="N14" s="228" t="str">
        <f ca="1">IF(AND('Mapa final'!$H$15="Alta",'Mapa final'!$L$15="Leve"),CONCATENATE("R",'Mapa final'!$A$15),"")</f>
        <v/>
      </c>
      <c r="O14" s="229"/>
      <c r="P14" s="227" t="str">
        <f ca="1">IF(AND('Mapa final'!$H$10="Alta",'Mapa final'!$L$10="Menor"),CONCATENATE("R",'Mapa final'!$A$10),"")</f>
        <v/>
      </c>
      <c r="Q14" s="228"/>
      <c r="R14" s="228" t="str">
        <f ca="1">IF(AND('Mapa final'!$H$11="Alta",'Mapa final'!$L$11="Menor"),CONCATENATE("R",'Mapa final'!$A$11),"")</f>
        <v/>
      </c>
      <c r="S14" s="228"/>
      <c r="T14" s="228" t="str">
        <f ca="1">IF(AND('Mapa final'!$H$15="Alta",'Mapa final'!$L$15="Menor"),CONCATENATE("R",'Mapa final'!$A$15),"")</f>
        <v/>
      </c>
      <c r="U14" s="229"/>
      <c r="V14" s="246" t="str">
        <f ca="1">IF(AND('Mapa final'!$H$10="Alta",'Mapa final'!$L$10="Moderado"),CONCATENATE("R",'Mapa final'!$A$10),"")</f>
        <v/>
      </c>
      <c r="W14" s="247"/>
      <c r="X14" s="247" t="str">
        <f ca="1">IF(AND('Mapa final'!$H$11="Alta",'Mapa final'!$L$11="Moderado"),CONCATENATE("R",'Mapa final'!$A$11),"")</f>
        <v/>
      </c>
      <c r="Y14" s="247"/>
      <c r="Z14" s="247" t="str">
        <f ca="1">IF(AND('Mapa final'!$H$15="Alta",'Mapa final'!$L$15="Moderado"),CONCATENATE("R",'Mapa final'!$A$15),"")</f>
        <v/>
      </c>
      <c r="AA14" s="248"/>
      <c r="AB14" s="246" t="str">
        <f ca="1">IF(AND('Mapa final'!$H$10="Alta",'Mapa final'!$L$10="Mayor"),CONCATENATE("R",'Mapa final'!$A$10),"")</f>
        <v/>
      </c>
      <c r="AC14" s="247"/>
      <c r="AD14" s="247" t="str">
        <f ca="1">IF(AND('Mapa final'!$H$11="Alta",'Mapa final'!$L$11="Mayor"),CONCATENATE("R",'Mapa final'!$A$11),"")</f>
        <v/>
      </c>
      <c r="AE14" s="247"/>
      <c r="AF14" s="247" t="str">
        <f ca="1">IF(AND('Mapa final'!$H$15="Alta",'Mapa final'!$L$15="Mayor"),CONCATENATE("R",'Mapa final'!$A$15),"")</f>
        <v/>
      </c>
      <c r="AG14" s="248"/>
      <c r="AH14" s="236" t="str">
        <f ca="1">IF(AND('Mapa final'!$H$10="Alta",'Mapa final'!$L$10="Catastrófico"),CONCATENATE("R",'Mapa final'!$A$10),"")</f>
        <v/>
      </c>
      <c r="AI14" s="237"/>
      <c r="AJ14" s="237" t="str">
        <f ca="1">IF(AND('Mapa final'!$H$11="Alta",'Mapa final'!$L$11="Catastrófico"),CONCATENATE("R",'Mapa final'!$A$11),"")</f>
        <v/>
      </c>
      <c r="AK14" s="237"/>
      <c r="AL14" s="237" t="str">
        <f ca="1">IF(AND('Mapa final'!$H$15="Alta",'Mapa final'!$L$15="Catastrófico"),CONCATENATE("R",'Mapa final'!$A$15),"")</f>
        <v/>
      </c>
      <c r="AM14" s="238"/>
      <c r="AN14" s="80"/>
      <c r="AO14" s="272" t="s">
        <v>79</v>
      </c>
      <c r="AP14" s="273"/>
      <c r="AQ14" s="273"/>
      <c r="AR14" s="273"/>
      <c r="AS14" s="273"/>
      <c r="AT14" s="274"/>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row>
    <row r="15" spans="1:99" ht="15" customHeight="1" x14ac:dyDescent="0.4">
      <c r="A15" s="80"/>
      <c r="B15" s="261"/>
      <c r="C15" s="261"/>
      <c r="D15" s="262"/>
      <c r="E15" s="253"/>
      <c r="F15" s="254"/>
      <c r="G15" s="254"/>
      <c r="H15" s="254"/>
      <c r="I15" s="259"/>
      <c r="J15" s="221"/>
      <c r="K15" s="222"/>
      <c r="L15" s="222"/>
      <c r="M15" s="222"/>
      <c r="N15" s="222"/>
      <c r="O15" s="223"/>
      <c r="P15" s="221"/>
      <c r="Q15" s="222"/>
      <c r="R15" s="222"/>
      <c r="S15" s="222"/>
      <c r="T15" s="222"/>
      <c r="U15" s="223"/>
      <c r="V15" s="239"/>
      <c r="W15" s="240"/>
      <c r="X15" s="240"/>
      <c r="Y15" s="240"/>
      <c r="Z15" s="240"/>
      <c r="AA15" s="242"/>
      <c r="AB15" s="239"/>
      <c r="AC15" s="240"/>
      <c r="AD15" s="240"/>
      <c r="AE15" s="240"/>
      <c r="AF15" s="240"/>
      <c r="AG15" s="242"/>
      <c r="AH15" s="230"/>
      <c r="AI15" s="231"/>
      <c r="AJ15" s="231"/>
      <c r="AK15" s="231"/>
      <c r="AL15" s="231"/>
      <c r="AM15" s="232"/>
      <c r="AN15" s="80"/>
      <c r="AO15" s="275"/>
      <c r="AP15" s="276"/>
      <c r="AQ15" s="276"/>
      <c r="AR15" s="276"/>
      <c r="AS15" s="276"/>
      <c r="AT15" s="277"/>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row>
    <row r="16" spans="1:99" ht="15" customHeight="1" x14ac:dyDescent="0.4">
      <c r="A16" s="80"/>
      <c r="B16" s="261"/>
      <c r="C16" s="261"/>
      <c r="D16" s="262"/>
      <c r="E16" s="253"/>
      <c r="F16" s="254"/>
      <c r="G16" s="254"/>
      <c r="H16" s="254"/>
      <c r="I16" s="259"/>
      <c r="J16" s="221" t="str">
        <f ca="1">IF(AND('Mapa final'!$H$17="Alta",'Mapa final'!$L$17="Leve"),CONCATENATE("R",'Mapa final'!$A$17),"")</f>
        <v/>
      </c>
      <c r="K16" s="222"/>
      <c r="L16" s="222" t="str">
        <f ca="1">IF(AND('Mapa final'!$H$18="Alta",'Mapa final'!$L$18="Leve"),CONCATENATE("R",'Mapa final'!$A$18),"")</f>
        <v/>
      </c>
      <c r="M16" s="222"/>
      <c r="N16" s="222" t="str">
        <f ca="1">IF(AND('Mapa final'!$H$20="Alta",'Mapa final'!$L$20="Leve"),CONCATENATE("R",'Mapa final'!$A$20),"")</f>
        <v/>
      </c>
      <c r="O16" s="223"/>
      <c r="P16" s="221" t="str">
        <f ca="1">IF(AND('Mapa final'!$H$17="Alta",'Mapa final'!$L$17="Menor"),CONCATENATE("R",'Mapa final'!$A$17),"")</f>
        <v/>
      </c>
      <c r="Q16" s="222"/>
      <c r="R16" s="222" t="str">
        <f ca="1">IF(AND('Mapa final'!$H$18="Alta",'Mapa final'!$L$18="Menor"),CONCATENATE("R",'Mapa final'!$A$18),"")</f>
        <v/>
      </c>
      <c r="S16" s="222"/>
      <c r="T16" s="222" t="str">
        <f ca="1">IF(AND('Mapa final'!$H$20="Alta",'Mapa final'!$L$20="Menor"),CONCATENATE("R",'Mapa final'!$A$20),"")</f>
        <v/>
      </c>
      <c r="U16" s="223"/>
      <c r="V16" s="239" t="str">
        <f ca="1">IF(AND('Mapa final'!$H$17="Alta",'Mapa final'!$L$17="Moderado"),CONCATENATE("R",'Mapa final'!$A$17),"")</f>
        <v/>
      </c>
      <c r="W16" s="240"/>
      <c r="X16" s="241" t="str">
        <f ca="1">IF(AND('Mapa final'!$H$18="Alta",'Mapa final'!$L$18="Moderado"),CONCATENATE("R",'Mapa final'!$A$18),"")</f>
        <v/>
      </c>
      <c r="Y16" s="241"/>
      <c r="Z16" s="241" t="str">
        <f ca="1">IF(AND('Mapa final'!$H$20="Alta",'Mapa final'!$L$20="Moderado"),CONCATENATE("R",'Mapa final'!$A$20),"")</f>
        <v/>
      </c>
      <c r="AA16" s="242"/>
      <c r="AB16" s="239" t="str">
        <f ca="1">IF(AND('Mapa final'!$H$17="Alta",'Mapa final'!$L$17="Mayor"),CONCATENATE("R",'Mapa final'!$A$17),"")</f>
        <v/>
      </c>
      <c r="AC16" s="240"/>
      <c r="AD16" s="241" t="str">
        <f ca="1">IF(AND('Mapa final'!$H$18="Alta",'Mapa final'!$L$18="Mayor"),CONCATENATE("R",'Mapa final'!$A$18),"")</f>
        <v/>
      </c>
      <c r="AE16" s="241"/>
      <c r="AF16" s="241" t="str">
        <f ca="1">IF(AND('Mapa final'!$H$20="Alta",'Mapa final'!$L$20="Mayor"),CONCATENATE("R",'Mapa final'!$A$20),"")</f>
        <v/>
      </c>
      <c r="AG16" s="242"/>
      <c r="AH16" s="230" t="str">
        <f ca="1">IF(AND('Mapa final'!$H$17="Alta",'Mapa final'!$L$17="Catastrófico"),CONCATENATE("R",'Mapa final'!$A$17),"")</f>
        <v/>
      </c>
      <c r="AI16" s="231"/>
      <c r="AJ16" s="231" t="str">
        <f ca="1">IF(AND('Mapa final'!$H$18="Alta",'Mapa final'!$L$18="Catastrófico"),CONCATENATE("R",'Mapa final'!$A$18),"")</f>
        <v/>
      </c>
      <c r="AK16" s="231"/>
      <c r="AL16" s="231" t="str">
        <f ca="1">IF(AND('Mapa final'!$H$20="Alta",'Mapa final'!$L$20="Catastrófico"),CONCATENATE("R",'Mapa final'!$A$20),"")</f>
        <v/>
      </c>
      <c r="AM16" s="232"/>
      <c r="AN16" s="80"/>
      <c r="AO16" s="275"/>
      <c r="AP16" s="276"/>
      <c r="AQ16" s="276"/>
      <c r="AR16" s="276"/>
      <c r="AS16" s="276"/>
      <c r="AT16" s="277"/>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row>
    <row r="17" spans="1:80" ht="15" customHeight="1" x14ac:dyDescent="0.4">
      <c r="A17" s="80"/>
      <c r="B17" s="261"/>
      <c r="C17" s="261"/>
      <c r="D17" s="262"/>
      <c r="E17" s="253"/>
      <c r="F17" s="254"/>
      <c r="G17" s="254"/>
      <c r="H17" s="254"/>
      <c r="I17" s="259"/>
      <c r="J17" s="221"/>
      <c r="K17" s="222"/>
      <c r="L17" s="222"/>
      <c r="M17" s="222"/>
      <c r="N17" s="222"/>
      <c r="O17" s="223"/>
      <c r="P17" s="221"/>
      <c r="Q17" s="222"/>
      <c r="R17" s="222"/>
      <c r="S17" s="222"/>
      <c r="T17" s="222"/>
      <c r="U17" s="223"/>
      <c r="V17" s="239"/>
      <c r="W17" s="240"/>
      <c r="X17" s="241"/>
      <c r="Y17" s="241"/>
      <c r="Z17" s="241"/>
      <c r="AA17" s="242"/>
      <c r="AB17" s="239"/>
      <c r="AC17" s="240"/>
      <c r="AD17" s="241"/>
      <c r="AE17" s="241"/>
      <c r="AF17" s="241"/>
      <c r="AG17" s="242"/>
      <c r="AH17" s="230"/>
      <c r="AI17" s="231"/>
      <c r="AJ17" s="231"/>
      <c r="AK17" s="231"/>
      <c r="AL17" s="231"/>
      <c r="AM17" s="232"/>
      <c r="AN17" s="80"/>
      <c r="AO17" s="275"/>
      <c r="AP17" s="276"/>
      <c r="AQ17" s="276"/>
      <c r="AR17" s="276"/>
      <c r="AS17" s="276"/>
      <c r="AT17" s="277"/>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row>
    <row r="18" spans="1:80" ht="15" customHeight="1" x14ac:dyDescent="0.4">
      <c r="A18" s="80"/>
      <c r="B18" s="261"/>
      <c r="C18" s="261"/>
      <c r="D18" s="262"/>
      <c r="E18" s="253"/>
      <c r="F18" s="254"/>
      <c r="G18" s="254"/>
      <c r="H18" s="254"/>
      <c r="I18" s="259"/>
      <c r="J18" s="221" t="str">
        <f ca="1">IF(AND('Mapa final'!$H$21="Alta",'Mapa final'!$L$21="Leve"),CONCATENATE("R",'Mapa final'!$A$21),"")</f>
        <v/>
      </c>
      <c r="K18" s="222"/>
      <c r="L18" s="222" t="str">
        <f ca="1">IF(AND('Mapa final'!$H$24="Alta",'Mapa final'!$L$24="Leve"),CONCATENATE("R",'Mapa final'!$A$24),"")</f>
        <v/>
      </c>
      <c r="M18" s="222"/>
      <c r="N18" s="222" t="e">
        <f>IF(AND('Mapa final'!#REF!="Alta",'Mapa final'!#REF!="Leve"),CONCATENATE("R",'Mapa final'!#REF!),"")</f>
        <v>#REF!</v>
      </c>
      <c r="O18" s="223"/>
      <c r="P18" s="221" t="str">
        <f ca="1">IF(AND('Mapa final'!$H$21="Alta",'Mapa final'!$L$21="Menor"),CONCATENATE("R",'Mapa final'!$A$21),"")</f>
        <v/>
      </c>
      <c r="Q18" s="222"/>
      <c r="R18" s="222" t="str">
        <f ca="1">IF(AND('Mapa final'!$H$24="Alta",'Mapa final'!$L$24="Menor"),CONCATENATE("R",'Mapa final'!$A$24),"")</f>
        <v/>
      </c>
      <c r="S18" s="222"/>
      <c r="T18" s="222" t="e">
        <f>IF(AND('Mapa final'!#REF!="Alta",'Mapa final'!#REF!="Menor"),CONCATENATE("R",'Mapa final'!#REF!),"")</f>
        <v>#REF!</v>
      </c>
      <c r="U18" s="223"/>
      <c r="V18" s="239" t="str">
        <f ca="1">IF(AND('Mapa final'!$H$21="Alta",'Mapa final'!$L$21="Moderado"),CONCATENATE("R",'Mapa final'!$A$21),"")</f>
        <v/>
      </c>
      <c r="W18" s="240"/>
      <c r="X18" s="241" t="str">
        <f ca="1">IF(AND('Mapa final'!$H$24="Alta",'Mapa final'!$L$24="Moderado"),CONCATENATE("R",'Mapa final'!$A$24),"")</f>
        <v/>
      </c>
      <c r="Y18" s="241"/>
      <c r="Z18" s="241" t="e">
        <f>IF(AND('Mapa final'!#REF!="Alta",'Mapa final'!#REF!="Moderado"),CONCATENATE("R",'Mapa final'!#REF!),"")</f>
        <v>#REF!</v>
      </c>
      <c r="AA18" s="242"/>
      <c r="AB18" s="239" t="str">
        <f ca="1">IF(AND('Mapa final'!$H$21="Alta",'Mapa final'!$L$21="Mayor"),CONCATENATE("R",'Mapa final'!$A$21),"")</f>
        <v/>
      </c>
      <c r="AC18" s="240"/>
      <c r="AD18" s="241" t="str">
        <f ca="1">IF(AND('Mapa final'!$H$24="Alta",'Mapa final'!$L$24="Mayor"),CONCATENATE("R",'Mapa final'!$A$24),"")</f>
        <v/>
      </c>
      <c r="AE18" s="241"/>
      <c r="AF18" s="241" t="e">
        <f>IF(AND('Mapa final'!#REF!="Alta",'Mapa final'!#REF!="Mayor"),CONCATENATE("R",'Mapa final'!#REF!),"")</f>
        <v>#REF!</v>
      </c>
      <c r="AG18" s="242"/>
      <c r="AH18" s="230" t="str">
        <f ca="1">IF(AND('Mapa final'!$H$21="Alta",'Mapa final'!$L$21="Catastrófico"),CONCATENATE("R",'Mapa final'!$A$21),"")</f>
        <v/>
      </c>
      <c r="AI18" s="231"/>
      <c r="AJ18" s="231" t="str">
        <f ca="1">IF(AND('Mapa final'!$H$24="Alta",'Mapa final'!$L$24="Catastrófico"),CONCATENATE("R",'Mapa final'!$A$24),"")</f>
        <v/>
      </c>
      <c r="AK18" s="231"/>
      <c r="AL18" s="231" t="e">
        <f>IF(AND('Mapa final'!#REF!="Alta",'Mapa final'!#REF!="Catastrófico"),CONCATENATE("R",'Mapa final'!#REF!),"")</f>
        <v>#REF!</v>
      </c>
      <c r="AM18" s="232"/>
      <c r="AN18" s="80"/>
      <c r="AO18" s="275"/>
      <c r="AP18" s="276"/>
      <c r="AQ18" s="276"/>
      <c r="AR18" s="276"/>
      <c r="AS18" s="276"/>
      <c r="AT18" s="277"/>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row>
    <row r="19" spans="1:80" ht="15" customHeight="1" x14ac:dyDescent="0.4">
      <c r="A19" s="80"/>
      <c r="B19" s="261"/>
      <c r="C19" s="261"/>
      <c r="D19" s="262"/>
      <c r="E19" s="253"/>
      <c r="F19" s="254"/>
      <c r="G19" s="254"/>
      <c r="H19" s="254"/>
      <c r="I19" s="259"/>
      <c r="J19" s="221"/>
      <c r="K19" s="222"/>
      <c r="L19" s="222"/>
      <c r="M19" s="222"/>
      <c r="N19" s="222"/>
      <c r="O19" s="223"/>
      <c r="P19" s="221"/>
      <c r="Q19" s="222"/>
      <c r="R19" s="222"/>
      <c r="S19" s="222"/>
      <c r="T19" s="222"/>
      <c r="U19" s="223"/>
      <c r="V19" s="239"/>
      <c r="W19" s="240"/>
      <c r="X19" s="241"/>
      <c r="Y19" s="241"/>
      <c r="Z19" s="241"/>
      <c r="AA19" s="242"/>
      <c r="AB19" s="239"/>
      <c r="AC19" s="240"/>
      <c r="AD19" s="241"/>
      <c r="AE19" s="241"/>
      <c r="AF19" s="241"/>
      <c r="AG19" s="242"/>
      <c r="AH19" s="230"/>
      <c r="AI19" s="231"/>
      <c r="AJ19" s="231"/>
      <c r="AK19" s="231"/>
      <c r="AL19" s="231"/>
      <c r="AM19" s="232"/>
      <c r="AN19" s="80"/>
      <c r="AO19" s="275"/>
      <c r="AP19" s="276"/>
      <c r="AQ19" s="276"/>
      <c r="AR19" s="276"/>
      <c r="AS19" s="276"/>
      <c r="AT19" s="277"/>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row>
    <row r="20" spans="1:80" ht="15" customHeight="1" x14ac:dyDescent="0.4">
      <c r="A20" s="80"/>
      <c r="B20" s="261"/>
      <c r="C20" s="261"/>
      <c r="D20" s="262"/>
      <c r="E20" s="253"/>
      <c r="F20" s="254"/>
      <c r="G20" s="254"/>
      <c r="H20" s="254"/>
      <c r="I20" s="259"/>
      <c r="J20" s="221" t="e">
        <f>IF(AND('Mapa final'!#REF!="Alta",'Mapa final'!#REF!="Leve"),CONCATENATE("R",'Mapa final'!#REF!),"")</f>
        <v>#REF!</v>
      </c>
      <c r="K20" s="222"/>
      <c r="L20" s="222" t="str">
        <f>IF(AND('Mapa final'!$H$25="Alta",'Mapa final'!$L$25="Leve"),CONCATENATE("R",'Mapa final'!$A$25),"")</f>
        <v/>
      </c>
      <c r="M20" s="222"/>
      <c r="N20" s="222" t="str">
        <f>IF(AND('Mapa final'!$H$31="Alta",'Mapa final'!$L$31="Leve"),CONCATENATE("R",'Mapa final'!$A$31),"")</f>
        <v/>
      </c>
      <c r="O20" s="223"/>
      <c r="P20" s="221" t="e">
        <f>IF(AND('Mapa final'!#REF!="Alta",'Mapa final'!#REF!="Menor"),CONCATENATE("R",'Mapa final'!#REF!),"")</f>
        <v>#REF!</v>
      </c>
      <c r="Q20" s="222"/>
      <c r="R20" s="222" t="str">
        <f>IF(AND('Mapa final'!$H$25="Alta",'Mapa final'!$L$25="Menor"),CONCATENATE("R",'Mapa final'!$A$25),"")</f>
        <v/>
      </c>
      <c r="S20" s="222"/>
      <c r="T20" s="222" t="str">
        <f>IF(AND('Mapa final'!$H$31="Alta",'Mapa final'!$L$31="Menor"),CONCATENATE("R",'Mapa final'!$A$31),"")</f>
        <v/>
      </c>
      <c r="U20" s="223"/>
      <c r="V20" s="239" t="e">
        <f>IF(AND('Mapa final'!#REF!="Alta",'Mapa final'!#REF!="Moderado"),CONCATENATE("R",'Mapa final'!#REF!),"")</f>
        <v>#REF!</v>
      </c>
      <c r="W20" s="240"/>
      <c r="X20" s="241" t="str">
        <f>IF(AND('Mapa final'!$H$25="Alta",'Mapa final'!$L$25="Moderado"),CONCATENATE("R",'Mapa final'!$A$25),"")</f>
        <v/>
      </c>
      <c r="Y20" s="241"/>
      <c r="Z20" s="241" t="str">
        <f>IF(AND('Mapa final'!$H$31="Alta",'Mapa final'!$L$31="Moderado"),CONCATENATE("R",'Mapa final'!$A$31),"")</f>
        <v/>
      </c>
      <c r="AA20" s="242"/>
      <c r="AB20" s="239" t="e">
        <f>IF(AND('Mapa final'!#REF!="Alta",'Mapa final'!#REF!="Mayor"),CONCATENATE("R",'Mapa final'!#REF!),"")</f>
        <v>#REF!</v>
      </c>
      <c r="AC20" s="240"/>
      <c r="AD20" s="241" t="str">
        <f>IF(AND('Mapa final'!$H$25="Alta",'Mapa final'!$L$25="Mayor"),CONCATENATE("R",'Mapa final'!$A$25),"")</f>
        <v/>
      </c>
      <c r="AE20" s="241"/>
      <c r="AF20" s="241" t="str">
        <f>IF(AND('Mapa final'!$H$31="Alta",'Mapa final'!$L$31="Mayor"),CONCATENATE("R",'Mapa final'!$A$31),"")</f>
        <v/>
      </c>
      <c r="AG20" s="242"/>
      <c r="AH20" s="230" t="e">
        <f>IF(AND('Mapa final'!#REF!="Alta",'Mapa final'!#REF!="Catastrófico"),CONCATENATE("R",'Mapa final'!#REF!),"")</f>
        <v>#REF!</v>
      </c>
      <c r="AI20" s="231"/>
      <c r="AJ20" s="231" t="str">
        <f>IF(AND('Mapa final'!$H$25="Alta",'Mapa final'!$L$25="Catastrófico"),CONCATENATE("R",'Mapa final'!$A$25),"")</f>
        <v/>
      </c>
      <c r="AK20" s="231"/>
      <c r="AL20" s="231" t="str">
        <f>IF(AND('Mapa final'!$H$31="Alta",'Mapa final'!$L$31="Catastrófico"),CONCATENATE("R",'Mapa final'!$A$31),"")</f>
        <v/>
      </c>
      <c r="AM20" s="232"/>
      <c r="AN20" s="80"/>
      <c r="AO20" s="275"/>
      <c r="AP20" s="276"/>
      <c r="AQ20" s="276"/>
      <c r="AR20" s="276"/>
      <c r="AS20" s="276"/>
      <c r="AT20" s="277"/>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row>
    <row r="21" spans="1:80" ht="15.75" customHeight="1" thickBot="1" x14ac:dyDescent="0.45">
      <c r="A21" s="80"/>
      <c r="B21" s="261"/>
      <c r="C21" s="261"/>
      <c r="D21" s="262"/>
      <c r="E21" s="256"/>
      <c r="F21" s="257"/>
      <c r="G21" s="257"/>
      <c r="H21" s="257"/>
      <c r="I21" s="257"/>
      <c r="J21" s="224"/>
      <c r="K21" s="225"/>
      <c r="L21" s="225"/>
      <c r="M21" s="225"/>
      <c r="N21" s="225"/>
      <c r="O21" s="226"/>
      <c r="P21" s="224"/>
      <c r="Q21" s="225"/>
      <c r="R21" s="225"/>
      <c r="S21" s="225"/>
      <c r="T21" s="225"/>
      <c r="U21" s="226"/>
      <c r="V21" s="243"/>
      <c r="W21" s="244"/>
      <c r="X21" s="244"/>
      <c r="Y21" s="244"/>
      <c r="Z21" s="244"/>
      <c r="AA21" s="245"/>
      <c r="AB21" s="243"/>
      <c r="AC21" s="244"/>
      <c r="AD21" s="244"/>
      <c r="AE21" s="244"/>
      <c r="AF21" s="244"/>
      <c r="AG21" s="245"/>
      <c r="AH21" s="233"/>
      <c r="AI21" s="234"/>
      <c r="AJ21" s="234"/>
      <c r="AK21" s="234"/>
      <c r="AL21" s="234"/>
      <c r="AM21" s="235"/>
      <c r="AN21" s="80"/>
      <c r="AO21" s="278"/>
      <c r="AP21" s="279"/>
      <c r="AQ21" s="279"/>
      <c r="AR21" s="279"/>
      <c r="AS21" s="279"/>
      <c r="AT21" s="2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row>
    <row r="22" spans="1:80" x14ac:dyDescent="0.4">
      <c r="A22" s="80"/>
      <c r="B22" s="261"/>
      <c r="C22" s="261"/>
      <c r="D22" s="262"/>
      <c r="E22" s="250" t="s">
        <v>116</v>
      </c>
      <c r="F22" s="251"/>
      <c r="G22" s="251"/>
      <c r="H22" s="251"/>
      <c r="I22" s="252"/>
      <c r="J22" s="227" t="str">
        <f ca="1">IF(AND('Mapa final'!$H$10="Media",'Mapa final'!$L$10="Leve"),CONCATENATE("R",'Mapa final'!$A$10),"")</f>
        <v/>
      </c>
      <c r="K22" s="228"/>
      <c r="L22" s="228" t="str">
        <f ca="1">IF(AND('Mapa final'!$H$11="Media",'Mapa final'!$L$11="Leve"),CONCATENATE("R",'Mapa final'!$A$11),"")</f>
        <v/>
      </c>
      <c r="M22" s="228"/>
      <c r="N22" s="228" t="str">
        <f ca="1">IF(AND('Mapa final'!$H$15="Media",'Mapa final'!$L$15="Leve"),CONCATENATE("R",'Mapa final'!$A$15),"")</f>
        <v/>
      </c>
      <c r="O22" s="229"/>
      <c r="P22" s="227" t="str">
        <f ca="1">IF(AND('Mapa final'!$H$10="Media",'Mapa final'!$L$10="Menor"),CONCATENATE("R",'Mapa final'!$A$10),"")</f>
        <v/>
      </c>
      <c r="Q22" s="228"/>
      <c r="R22" s="228" t="str">
        <f ca="1">IF(AND('Mapa final'!$H$11="Media",'Mapa final'!$L$11="Menor"),CONCATENATE("R",'Mapa final'!$A$11),"")</f>
        <v/>
      </c>
      <c r="S22" s="228"/>
      <c r="T22" s="228" t="str">
        <f ca="1">IF(AND('Mapa final'!$H$15="Media",'Mapa final'!$L$15="Menor"),CONCATENATE("R",'Mapa final'!$A$15),"")</f>
        <v/>
      </c>
      <c r="U22" s="229"/>
      <c r="V22" s="227" t="str">
        <f ca="1">IF(AND('Mapa final'!$H$10="Media",'Mapa final'!$L$10="Moderado"),CONCATENATE("R",'Mapa final'!$A$10),"")</f>
        <v/>
      </c>
      <c r="W22" s="228"/>
      <c r="X22" s="228" t="str">
        <f ca="1">IF(AND('Mapa final'!$H$11="Media",'Mapa final'!$L$11="Moderado"),CONCATENATE("R",'Mapa final'!$A$11),"")</f>
        <v/>
      </c>
      <c r="Y22" s="228"/>
      <c r="Z22" s="228" t="str">
        <f ca="1">IF(AND('Mapa final'!$H$15="Media",'Mapa final'!$L$15="Moderado"),CONCATENATE("R",'Mapa final'!$A$15),"")</f>
        <v>R3</v>
      </c>
      <c r="AA22" s="229"/>
      <c r="AB22" s="246" t="str">
        <f ca="1">IF(AND('Mapa final'!$H$10="Media",'Mapa final'!$L$10="Mayor"),CONCATENATE("R",'Mapa final'!$A$10),"")</f>
        <v>R1</v>
      </c>
      <c r="AC22" s="247"/>
      <c r="AD22" s="247" t="str">
        <f ca="1">IF(AND('Mapa final'!$H$11="Media",'Mapa final'!$L$11="Mayor"),CONCATENATE("R",'Mapa final'!$A$11),"")</f>
        <v>R2</v>
      </c>
      <c r="AE22" s="247"/>
      <c r="AF22" s="247" t="str">
        <f ca="1">IF(AND('Mapa final'!$H$15="Media",'Mapa final'!$L$15="Mayor"),CONCATENATE("R",'Mapa final'!$A$15),"")</f>
        <v/>
      </c>
      <c r="AG22" s="248"/>
      <c r="AH22" s="236" t="str">
        <f ca="1">IF(AND('Mapa final'!$H$10="Media",'Mapa final'!$L$10="Catastrófico"),CONCATENATE("R",'Mapa final'!$A$10),"")</f>
        <v/>
      </c>
      <c r="AI22" s="237"/>
      <c r="AJ22" s="237" t="str">
        <f ca="1">IF(AND('Mapa final'!$H$11="Media",'Mapa final'!$L$11="Catastrófico"),CONCATENATE("R",'Mapa final'!$A$11),"")</f>
        <v/>
      </c>
      <c r="AK22" s="237"/>
      <c r="AL22" s="237" t="str">
        <f ca="1">IF(AND('Mapa final'!$H$15="Media",'Mapa final'!$L$15="Catastrófico"),CONCATENATE("R",'Mapa final'!$A$15),"")</f>
        <v/>
      </c>
      <c r="AM22" s="238"/>
      <c r="AN22" s="80"/>
      <c r="AO22" s="281" t="s">
        <v>80</v>
      </c>
      <c r="AP22" s="282"/>
      <c r="AQ22" s="282"/>
      <c r="AR22" s="282"/>
      <c r="AS22" s="282"/>
      <c r="AT22" s="283"/>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row>
    <row r="23" spans="1:80" x14ac:dyDescent="0.4">
      <c r="A23" s="80"/>
      <c r="B23" s="261"/>
      <c r="C23" s="261"/>
      <c r="D23" s="262"/>
      <c r="E23" s="253"/>
      <c r="F23" s="254"/>
      <c r="G23" s="254"/>
      <c r="H23" s="254"/>
      <c r="I23" s="255"/>
      <c r="J23" s="221"/>
      <c r="K23" s="222"/>
      <c r="L23" s="222"/>
      <c r="M23" s="222"/>
      <c r="N23" s="222"/>
      <c r="O23" s="223"/>
      <c r="P23" s="221"/>
      <c r="Q23" s="222"/>
      <c r="R23" s="222"/>
      <c r="S23" s="222"/>
      <c r="T23" s="222"/>
      <c r="U23" s="223"/>
      <c r="V23" s="221"/>
      <c r="W23" s="222"/>
      <c r="X23" s="222"/>
      <c r="Y23" s="222"/>
      <c r="Z23" s="222"/>
      <c r="AA23" s="223"/>
      <c r="AB23" s="239"/>
      <c r="AC23" s="240"/>
      <c r="AD23" s="240"/>
      <c r="AE23" s="240"/>
      <c r="AF23" s="240"/>
      <c r="AG23" s="242"/>
      <c r="AH23" s="230"/>
      <c r="AI23" s="231"/>
      <c r="AJ23" s="231"/>
      <c r="AK23" s="231"/>
      <c r="AL23" s="231"/>
      <c r="AM23" s="232"/>
      <c r="AN23" s="80"/>
      <c r="AO23" s="284"/>
      <c r="AP23" s="285"/>
      <c r="AQ23" s="285"/>
      <c r="AR23" s="285"/>
      <c r="AS23" s="285"/>
      <c r="AT23" s="286"/>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row>
    <row r="24" spans="1:80" x14ac:dyDescent="0.4">
      <c r="A24" s="80"/>
      <c r="B24" s="261"/>
      <c r="C24" s="261"/>
      <c r="D24" s="262"/>
      <c r="E24" s="253"/>
      <c r="F24" s="254"/>
      <c r="G24" s="254"/>
      <c r="H24" s="254"/>
      <c r="I24" s="255"/>
      <c r="J24" s="221" t="str">
        <f ca="1">IF(AND('Mapa final'!$H$17="Media",'Mapa final'!$L$17="Leve"),CONCATENATE("R",'Mapa final'!$A$17),"")</f>
        <v/>
      </c>
      <c r="K24" s="222"/>
      <c r="L24" s="222" t="str">
        <f ca="1">IF(AND('Mapa final'!$H$18="Media",'Mapa final'!$L$18="Leve"),CONCATENATE("R",'Mapa final'!$A$18),"")</f>
        <v>R5</v>
      </c>
      <c r="M24" s="222"/>
      <c r="N24" s="222" t="str">
        <f ca="1">IF(AND('Mapa final'!$H$20="Media",'Mapa final'!$L$20="Leve"),CONCATENATE("R",'Mapa final'!$A$20),"")</f>
        <v/>
      </c>
      <c r="O24" s="223"/>
      <c r="P24" s="221" t="str">
        <f ca="1">IF(AND('Mapa final'!$H$17="Media",'Mapa final'!$L$17="Menor"),CONCATENATE("R",'Mapa final'!$A$17),"")</f>
        <v/>
      </c>
      <c r="Q24" s="222"/>
      <c r="R24" s="222" t="str">
        <f ca="1">IF(AND('Mapa final'!$H$18="Media",'Mapa final'!$L$18="Menor"),CONCATENATE("R",'Mapa final'!$A$18),"")</f>
        <v/>
      </c>
      <c r="S24" s="222"/>
      <c r="T24" s="222" t="str">
        <f ca="1">IF(AND('Mapa final'!$H$20="Media",'Mapa final'!$L$20="Menor"),CONCATENATE("R",'Mapa final'!$A$20),"")</f>
        <v/>
      </c>
      <c r="U24" s="223"/>
      <c r="V24" s="221" t="str">
        <f ca="1">IF(AND('Mapa final'!$H$17="Media",'Mapa final'!$L$17="Moderado"),CONCATENATE("R",'Mapa final'!$A$17),"")</f>
        <v/>
      </c>
      <c r="W24" s="222"/>
      <c r="X24" s="222" t="str">
        <f ca="1">IF(AND('Mapa final'!$H$18="Media",'Mapa final'!$L$18="Moderado"),CONCATENATE("R",'Mapa final'!$A$18),"")</f>
        <v/>
      </c>
      <c r="Y24" s="222"/>
      <c r="Z24" s="222" t="str">
        <f ca="1">IF(AND('Mapa final'!$H$20="Media",'Mapa final'!$L$20="Moderado"),CONCATENATE("R",'Mapa final'!$A$20),"")</f>
        <v>R6</v>
      </c>
      <c r="AA24" s="223"/>
      <c r="AB24" s="239" t="str">
        <f ca="1">IF(AND('Mapa final'!$H$17="Media",'Mapa final'!$L$17="Mayor"),CONCATENATE("R",'Mapa final'!$A$17),"")</f>
        <v>R4</v>
      </c>
      <c r="AC24" s="240"/>
      <c r="AD24" s="241" t="str">
        <f ca="1">IF(AND('Mapa final'!$H$18="Media",'Mapa final'!$L$18="Mayor"),CONCATENATE("R",'Mapa final'!$A$18),"")</f>
        <v/>
      </c>
      <c r="AE24" s="241"/>
      <c r="AF24" s="241" t="str">
        <f ca="1">IF(AND('Mapa final'!$H$20="Media",'Mapa final'!$L$20="Mayor"),CONCATENATE("R",'Mapa final'!$A$20),"")</f>
        <v/>
      </c>
      <c r="AG24" s="242"/>
      <c r="AH24" s="230" t="str">
        <f ca="1">IF(AND('Mapa final'!$H$17="Media",'Mapa final'!$L$17="Catastrófico"),CONCATENATE("R",'Mapa final'!$A$17),"")</f>
        <v/>
      </c>
      <c r="AI24" s="231"/>
      <c r="AJ24" s="231" t="str">
        <f ca="1">IF(AND('Mapa final'!$H$18="Media",'Mapa final'!$L$18="Catastrófico"),CONCATENATE("R",'Mapa final'!$A$18),"")</f>
        <v/>
      </c>
      <c r="AK24" s="231"/>
      <c r="AL24" s="231" t="str">
        <f ca="1">IF(AND('Mapa final'!$H$20="Media",'Mapa final'!$L$20="Catastrófico"),CONCATENATE("R",'Mapa final'!$A$20),"")</f>
        <v/>
      </c>
      <c r="AM24" s="232"/>
      <c r="AN24" s="80"/>
      <c r="AO24" s="284"/>
      <c r="AP24" s="285"/>
      <c r="AQ24" s="285"/>
      <c r="AR24" s="285"/>
      <c r="AS24" s="285"/>
      <c r="AT24" s="286"/>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row>
    <row r="25" spans="1:80" x14ac:dyDescent="0.4">
      <c r="A25" s="80"/>
      <c r="B25" s="261"/>
      <c r="C25" s="261"/>
      <c r="D25" s="262"/>
      <c r="E25" s="253"/>
      <c r="F25" s="254"/>
      <c r="G25" s="254"/>
      <c r="H25" s="254"/>
      <c r="I25" s="255"/>
      <c r="J25" s="221"/>
      <c r="K25" s="222"/>
      <c r="L25" s="222"/>
      <c r="M25" s="222"/>
      <c r="N25" s="222"/>
      <c r="O25" s="223"/>
      <c r="P25" s="221"/>
      <c r="Q25" s="222"/>
      <c r="R25" s="222"/>
      <c r="S25" s="222"/>
      <c r="T25" s="222"/>
      <c r="U25" s="223"/>
      <c r="V25" s="221"/>
      <c r="W25" s="222"/>
      <c r="X25" s="222"/>
      <c r="Y25" s="222"/>
      <c r="Z25" s="222"/>
      <c r="AA25" s="223"/>
      <c r="AB25" s="239"/>
      <c r="AC25" s="240"/>
      <c r="AD25" s="241"/>
      <c r="AE25" s="241"/>
      <c r="AF25" s="241"/>
      <c r="AG25" s="242"/>
      <c r="AH25" s="230"/>
      <c r="AI25" s="231"/>
      <c r="AJ25" s="231"/>
      <c r="AK25" s="231"/>
      <c r="AL25" s="231"/>
      <c r="AM25" s="232"/>
      <c r="AN25" s="80"/>
      <c r="AO25" s="284"/>
      <c r="AP25" s="285"/>
      <c r="AQ25" s="285"/>
      <c r="AR25" s="285"/>
      <c r="AS25" s="285"/>
      <c r="AT25" s="286"/>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row>
    <row r="26" spans="1:80" x14ac:dyDescent="0.4">
      <c r="A26" s="80"/>
      <c r="B26" s="261"/>
      <c r="C26" s="261"/>
      <c r="D26" s="262"/>
      <c r="E26" s="253"/>
      <c r="F26" s="254"/>
      <c r="G26" s="254"/>
      <c r="H26" s="254"/>
      <c r="I26" s="255"/>
      <c r="J26" s="221" t="str">
        <f ca="1">IF(AND('Mapa final'!$H$21="Media",'Mapa final'!$L$21="Leve"),CONCATENATE("R",'Mapa final'!$A$21),"")</f>
        <v/>
      </c>
      <c r="K26" s="222"/>
      <c r="L26" s="222" t="str">
        <f ca="1">IF(AND('Mapa final'!$H$24="Media",'Mapa final'!$L$24="Leve"),CONCATENATE("R",'Mapa final'!$A$24),"")</f>
        <v/>
      </c>
      <c r="M26" s="222"/>
      <c r="N26" s="222" t="e">
        <f>IF(AND('Mapa final'!#REF!="Media",'Mapa final'!#REF!="Leve"),CONCATENATE("R",'Mapa final'!#REF!),"")</f>
        <v>#REF!</v>
      </c>
      <c r="O26" s="223"/>
      <c r="P26" s="221" t="str">
        <f ca="1">IF(AND('Mapa final'!$H$21="Media",'Mapa final'!$L$21="Menor"),CONCATENATE("R",'Mapa final'!$A$21),"")</f>
        <v/>
      </c>
      <c r="Q26" s="222"/>
      <c r="R26" s="222" t="str">
        <f ca="1">IF(AND('Mapa final'!$H$24="Media",'Mapa final'!$L$24="Menor"),CONCATENATE("R",'Mapa final'!$A$24),"")</f>
        <v/>
      </c>
      <c r="S26" s="222"/>
      <c r="T26" s="222" t="e">
        <f>IF(AND('Mapa final'!#REF!="Media",'Mapa final'!#REF!="Menor"),CONCATENATE("R",'Mapa final'!#REF!),"")</f>
        <v>#REF!</v>
      </c>
      <c r="U26" s="223"/>
      <c r="V26" s="221" t="str">
        <f ca="1">IF(AND('Mapa final'!$H$21="Media",'Mapa final'!$L$21="Moderado"),CONCATENATE("R",'Mapa final'!$A$21),"")</f>
        <v>R7</v>
      </c>
      <c r="W26" s="222"/>
      <c r="X26" s="222" t="str">
        <f ca="1">IF(AND('Mapa final'!$H$24="Media",'Mapa final'!$L$24="Moderado"),CONCATENATE("R",'Mapa final'!$A$24),"")</f>
        <v/>
      </c>
      <c r="Y26" s="222"/>
      <c r="Z26" s="222" t="e">
        <f>IF(AND('Mapa final'!#REF!="Media",'Mapa final'!#REF!="Moderado"),CONCATENATE("R",'Mapa final'!#REF!),"")</f>
        <v>#REF!</v>
      </c>
      <c r="AA26" s="223"/>
      <c r="AB26" s="239" t="str">
        <f ca="1">IF(AND('Mapa final'!$H$21="Media",'Mapa final'!$L$21="Mayor"),CONCATENATE("R",'Mapa final'!$A$21),"")</f>
        <v/>
      </c>
      <c r="AC26" s="240"/>
      <c r="AD26" s="241" t="str">
        <f ca="1">IF(AND('Mapa final'!$H$24="Media",'Mapa final'!$L$24="Mayor"),CONCATENATE("R",'Mapa final'!$A$24),"")</f>
        <v/>
      </c>
      <c r="AE26" s="241"/>
      <c r="AF26" s="241" t="e">
        <f>IF(AND('Mapa final'!#REF!="Media",'Mapa final'!#REF!="Mayor"),CONCATENATE("R",'Mapa final'!#REF!),"")</f>
        <v>#REF!</v>
      </c>
      <c r="AG26" s="242"/>
      <c r="AH26" s="230" t="str">
        <f ca="1">IF(AND('Mapa final'!$H$21="Media",'Mapa final'!$L$21="Catastrófico"),CONCATENATE("R",'Mapa final'!$A$21),"")</f>
        <v/>
      </c>
      <c r="AI26" s="231"/>
      <c r="AJ26" s="231" t="str">
        <f ca="1">IF(AND('Mapa final'!$H$24="Media",'Mapa final'!$L$24="Catastrófico"),CONCATENATE("R",'Mapa final'!$A$24),"")</f>
        <v/>
      </c>
      <c r="AK26" s="231"/>
      <c r="AL26" s="231" t="e">
        <f>IF(AND('Mapa final'!#REF!="Media",'Mapa final'!#REF!="Catastrófico"),CONCATENATE("R",'Mapa final'!#REF!),"")</f>
        <v>#REF!</v>
      </c>
      <c r="AM26" s="232"/>
      <c r="AN26" s="80"/>
      <c r="AO26" s="284"/>
      <c r="AP26" s="285"/>
      <c r="AQ26" s="285"/>
      <c r="AR26" s="285"/>
      <c r="AS26" s="285"/>
      <c r="AT26" s="286"/>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row>
    <row r="27" spans="1:80" x14ac:dyDescent="0.4">
      <c r="A27" s="80"/>
      <c r="B27" s="261"/>
      <c r="C27" s="261"/>
      <c r="D27" s="262"/>
      <c r="E27" s="253"/>
      <c r="F27" s="254"/>
      <c r="G27" s="254"/>
      <c r="H27" s="254"/>
      <c r="I27" s="255"/>
      <c r="J27" s="221"/>
      <c r="K27" s="222"/>
      <c r="L27" s="222"/>
      <c r="M27" s="222"/>
      <c r="N27" s="222"/>
      <c r="O27" s="223"/>
      <c r="P27" s="221"/>
      <c r="Q27" s="222"/>
      <c r="R27" s="222"/>
      <c r="S27" s="222"/>
      <c r="T27" s="222"/>
      <c r="U27" s="223"/>
      <c r="V27" s="221"/>
      <c r="W27" s="222"/>
      <c r="X27" s="222"/>
      <c r="Y27" s="222"/>
      <c r="Z27" s="222"/>
      <c r="AA27" s="223"/>
      <c r="AB27" s="239"/>
      <c r="AC27" s="240"/>
      <c r="AD27" s="241"/>
      <c r="AE27" s="241"/>
      <c r="AF27" s="241"/>
      <c r="AG27" s="242"/>
      <c r="AH27" s="230"/>
      <c r="AI27" s="231"/>
      <c r="AJ27" s="231"/>
      <c r="AK27" s="231"/>
      <c r="AL27" s="231"/>
      <c r="AM27" s="232"/>
      <c r="AN27" s="80"/>
      <c r="AO27" s="284"/>
      <c r="AP27" s="285"/>
      <c r="AQ27" s="285"/>
      <c r="AR27" s="285"/>
      <c r="AS27" s="285"/>
      <c r="AT27" s="286"/>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row>
    <row r="28" spans="1:80" x14ac:dyDescent="0.4">
      <c r="A28" s="80"/>
      <c r="B28" s="261"/>
      <c r="C28" s="261"/>
      <c r="D28" s="262"/>
      <c r="E28" s="253"/>
      <c r="F28" s="254"/>
      <c r="G28" s="254"/>
      <c r="H28" s="254"/>
      <c r="I28" s="255"/>
      <c r="J28" s="221" t="e">
        <f>IF(AND('Mapa final'!#REF!="Media",'Mapa final'!#REF!="Leve"),CONCATENATE("R",'Mapa final'!#REF!),"")</f>
        <v>#REF!</v>
      </c>
      <c r="K28" s="222"/>
      <c r="L28" s="222" t="str">
        <f>IF(AND('Mapa final'!$H$25="Media",'Mapa final'!$L$25="Leve"),CONCATENATE("R",'Mapa final'!$A$25),"")</f>
        <v/>
      </c>
      <c r="M28" s="222"/>
      <c r="N28" s="222" t="str">
        <f>IF(AND('Mapa final'!$H$31="Media",'Mapa final'!$L$31="Leve"),CONCATENATE("R",'Mapa final'!$A$31),"")</f>
        <v/>
      </c>
      <c r="O28" s="223"/>
      <c r="P28" s="221" t="e">
        <f>IF(AND('Mapa final'!#REF!="Media",'Mapa final'!#REF!="Menor"),CONCATENATE("R",'Mapa final'!#REF!),"")</f>
        <v>#REF!</v>
      </c>
      <c r="Q28" s="222"/>
      <c r="R28" s="222" t="str">
        <f>IF(AND('Mapa final'!$H$25="Media",'Mapa final'!$L$25="Menor"),CONCATENATE("R",'Mapa final'!$A$25),"")</f>
        <v/>
      </c>
      <c r="S28" s="222"/>
      <c r="T28" s="222" t="str">
        <f>IF(AND('Mapa final'!$H$31="Media",'Mapa final'!$L$31="Menor"),CONCATENATE("R",'Mapa final'!$A$31),"")</f>
        <v/>
      </c>
      <c r="U28" s="223"/>
      <c r="V28" s="221" t="e">
        <f>IF(AND('Mapa final'!#REF!="Media",'Mapa final'!#REF!="Moderado"),CONCATENATE("R",'Mapa final'!#REF!),"")</f>
        <v>#REF!</v>
      </c>
      <c r="W28" s="222"/>
      <c r="X28" s="222" t="str">
        <f>IF(AND('Mapa final'!$H$25="Media",'Mapa final'!$L$25="Moderado"),CONCATENATE("R",'Mapa final'!$A$25),"")</f>
        <v/>
      </c>
      <c r="Y28" s="222"/>
      <c r="Z28" s="222" t="str">
        <f>IF(AND('Mapa final'!$H$31="Media",'Mapa final'!$L$31="Moderado"),CONCATENATE("R",'Mapa final'!$A$31),"")</f>
        <v/>
      </c>
      <c r="AA28" s="223"/>
      <c r="AB28" s="239" t="e">
        <f>IF(AND('Mapa final'!#REF!="Media",'Mapa final'!#REF!="Mayor"),CONCATENATE("R",'Mapa final'!#REF!),"")</f>
        <v>#REF!</v>
      </c>
      <c r="AC28" s="240"/>
      <c r="AD28" s="241" t="str">
        <f>IF(AND('Mapa final'!$H$25="Media",'Mapa final'!$L$25="Mayor"),CONCATENATE("R",'Mapa final'!$A$25),"")</f>
        <v/>
      </c>
      <c r="AE28" s="241"/>
      <c r="AF28" s="241" t="str">
        <f>IF(AND('Mapa final'!$H$31="Media",'Mapa final'!$L$31="Mayor"),CONCATENATE("R",'Mapa final'!$A$31),"")</f>
        <v/>
      </c>
      <c r="AG28" s="242"/>
      <c r="AH28" s="230" t="e">
        <f>IF(AND('Mapa final'!#REF!="Media",'Mapa final'!#REF!="Catastrófico"),CONCATENATE("R",'Mapa final'!#REF!),"")</f>
        <v>#REF!</v>
      </c>
      <c r="AI28" s="231"/>
      <c r="AJ28" s="231" t="str">
        <f>IF(AND('Mapa final'!$H$25="Media",'Mapa final'!$L$25="Catastrófico"),CONCATENATE("R",'Mapa final'!$A$25),"")</f>
        <v/>
      </c>
      <c r="AK28" s="231"/>
      <c r="AL28" s="231" t="str">
        <f>IF(AND('Mapa final'!$H$31="Media",'Mapa final'!$L$31="Catastrófico"),CONCATENATE("R",'Mapa final'!$A$31),"")</f>
        <v/>
      </c>
      <c r="AM28" s="232"/>
      <c r="AN28" s="80"/>
      <c r="AO28" s="284"/>
      <c r="AP28" s="285"/>
      <c r="AQ28" s="285"/>
      <c r="AR28" s="285"/>
      <c r="AS28" s="285"/>
      <c r="AT28" s="286"/>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row>
    <row r="29" spans="1:80" ht="15" thickBot="1" x14ac:dyDescent="0.45">
      <c r="A29" s="80"/>
      <c r="B29" s="261"/>
      <c r="C29" s="261"/>
      <c r="D29" s="262"/>
      <c r="E29" s="256"/>
      <c r="F29" s="257"/>
      <c r="G29" s="257"/>
      <c r="H29" s="257"/>
      <c r="I29" s="258"/>
      <c r="J29" s="221"/>
      <c r="K29" s="222"/>
      <c r="L29" s="222"/>
      <c r="M29" s="222"/>
      <c r="N29" s="222"/>
      <c r="O29" s="223"/>
      <c r="P29" s="224"/>
      <c r="Q29" s="225"/>
      <c r="R29" s="225"/>
      <c r="S29" s="225"/>
      <c r="T29" s="225"/>
      <c r="U29" s="226"/>
      <c r="V29" s="224"/>
      <c r="W29" s="225"/>
      <c r="X29" s="225"/>
      <c r="Y29" s="225"/>
      <c r="Z29" s="225"/>
      <c r="AA29" s="226"/>
      <c r="AB29" s="243"/>
      <c r="AC29" s="244"/>
      <c r="AD29" s="244"/>
      <c r="AE29" s="244"/>
      <c r="AF29" s="244"/>
      <c r="AG29" s="245"/>
      <c r="AH29" s="233"/>
      <c r="AI29" s="234"/>
      <c r="AJ29" s="234"/>
      <c r="AK29" s="234"/>
      <c r="AL29" s="234"/>
      <c r="AM29" s="235"/>
      <c r="AN29" s="80"/>
      <c r="AO29" s="287"/>
      <c r="AP29" s="288"/>
      <c r="AQ29" s="288"/>
      <c r="AR29" s="288"/>
      <c r="AS29" s="288"/>
      <c r="AT29" s="289"/>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row>
    <row r="30" spans="1:80" x14ac:dyDescent="0.4">
      <c r="A30" s="80"/>
      <c r="B30" s="261"/>
      <c r="C30" s="261"/>
      <c r="D30" s="262"/>
      <c r="E30" s="250" t="s">
        <v>113</v>
      </c>
      <c r="F30" s="251"/>
      <c r="G30" s="251"/>
      <c r="H30" s="251"/>
      <c r="I30" s="251"/>
      <c r="J30" s="218" t="str">
        <f ca="1">IF(AND('Mapa final'!$H$10="Baja",'Mapa final'!$L$10="Leve"),CONCATENATE("R",'Mapa final'!$A$10),"")</f>
        <v/>
      </c>
      <c r="K30" s="219"/>
      <c r="L30" s="219" t="str">
        <f ca="1">IF(AND('Mapa final'!$H$11="Baja",'Mapa final'!$L$11="Leve"),CONCATENATE("R",'Mapa final'!$A$11),"")</f>
        <v/>
      </c>
      <c r="M30" s="219"/>
      <c r="N30" s="219" t="str">
        <f ca="1">IF(AND('Mapa final'!$H$15="Baja",'Mapa final'!$L$15="Leve"),CONCATENATE("R",'Mapa final'!$A$15),"")</f>
        <v/>
      </c>
      <c r="O30" s="220"/>
      <c r="P30" s="228" t="str">
        <f ca="1">IF(AND('Mapa final'!$H$10="Baja",'Mapa final'!$L$10="Menor"),CONCATENATE("R",'Mapa final'!$A$10),"")</f>
        <v/>
      </c>
      <c r="Q30" s="228"/>
      <c r="R30" s="228" t="str">
        <f ca="1">IF(AND('Mapa final'!$H$11="Baja",'Mapa final'!$L$11="Menor"),CONCATENATE("R",'Mapa final'!$A$11),"")</f>
        <v/>
      </c>
      <c r="S30" s="228"/>
      <c r="T30" s="228" t="str">
        <f ca="1">IF(AND('Mapa final'!$H$15="Baja",'Mapa final'!$L$15="Menor"),CONCATENATE("R",'Mapa final'!$A$15),"")</f>
        <v/>
      </c>
      <c r="U30" s="229"/>
      <c r="V30" s="227" t="str">
        <f ca="1">IF(AND('Mapa final'!$H$10="Baja",'Mapa final'!$L$10="Moderado"),CONCATENATE("R",'Mapa final'!$A$10),"")</f>
        <v/>
      </c>
      <c r="W30" s="228"/>
      <c r="X30" s="228" t="str">
        <f ca="1">IF(AND('Mapa final'!$H$11="Baja",'Mapa final'!$L$11="Moderado"),CONCATENATE("R",'Mapa final'!$A$11),"")</f>
        <v/>
      </c>
      <c r="Y30" s="228"/>
      <c r="Z30" s="228" t="str">
        <f ca="1">IF(AND('Mapa final'!$H$15="Baja",'Mapa final'!$L$15="Moderado"),CONCATENATE("R",'Mapa final'!$A$15),"")</f>
        <v/>
      </c>
      <c r="AA30" s="229"/>
      <c r="AB30" s="246" t="str">
        <f ca="1">IF(AND('Mapa final'!$H$10="Baja",'Mapa final'!$L$10="Mayor"),CONCATENATE("R",'Mapa final'!$A$10),"")</f>
        <v/>
      </c>
      <c r="AC30" s="247"/>
      <c r="AD30" s="247" t="str">
        <f ca="1">IF(AND('Mapa final'!$H$11="Baja",'Mapa final'!$L$11="Mayor"),CONCATENATE("R",'Mapa final'!$A$11),"")</f>
        <v/>
      </c>
      <c r="AE30" s="247"/>
      <c r="AF30" s="247" t="str">
        <f ca="1">IF(AND('Mapa final'!$H$15="Baja",'Mapa final'!$L$15="Mayor"),CONCATENATE("R",'Mapa final'!$A$15),"")</f>
        <v/>
      </c>
      <c r="AG30" s="248"/>
      <c r="AH30" s="236" t="str">
        <f ca="1">IF(AND('Mapa final'!$H$10="Baja",'Mapa final'!$L$10="Catastrófico"),CONCATENATE("R",'Mapa final'!$A$10),"")</f>
        <v/>
      </c>
      <c r="AI30" s="237"/>
      <c r="AJ30" s="237" t="str">
        <f ca="1">IF(AND('Mapa final'!$H$11="Baja",'Mapa final'!$L$11="Catastrófico"),CONCATENATE("R",'Mapa final'!$A$11),"")</f>
        <v/>
      </c>
      <c r="AK30" s="237"/>
      <c r="AL30" s="237" t="str">
        <f ca="1">IF(AND('Mapa final'!$H$15="Baja",'Mapa final'!$L$15="Catastrófico"),CONCATENATE("R",'Mapa final'!$A$15),"")</f>
        <v/>
      </c>
      <c r="AM30" s="238"/>
      <c r="AN30" s="80"/>
      <c r="AO30" s="290" t="s">
        <v>81</v>
      </c>
      <c r="AP30" s="291"/>
      <c r="AQ30" s="291"/>
      <c r="AR30" s="291"/>
      <c r="AS30" s="291"/>
      <c r="AT30" s="292"/>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row>
    <row r="31" spans="1:80" x14ac:dyDescent="0.4">
      <c r="A31" s="80"/>
      <c r="B31" s="261"/>
      <c r="C31" s="261"/>
      <c r="D31" s="262"/>
      <c r="E31" s="253"/>
      <c r="F31" s="254"/>
      <c r="G31" s="254"/>
      <c r="H31" s="254"/>
      <c r="I31" s="259"/>
      <c r="J31" s="212"/>
      <c r="K31" s="213"/>
      <c r="L31" s="213"/>
      <c r="M31" s="213"/>
      <c r="N31" s="213"/>
      <c r="O31" s="214"/>
      <c r="P31" s="222"/>
      <c r="Q31" s="222"/>
      <c r="R31" s="222"/>
      <c r="S31" s="222"/>
      <c r="T31" s="222"/>
      <c r="U31" s="223"/>
      <c r="V31" s="221"/>
      <c r="W31" s="222"/>
      <c r="X31" s="222"/>
      <c r="Y31" s="222"/>
      <c r="Z31" s="222"/>
      <c r="AA31" s="223"/>
      <c r="AB31" s="239"/>
      <c r="AC31" s="240"/>
      <c r="AD31" s="240"/>
      <c r="AE31" s="240"/>
      <c r="AF31" s="240"/>
      <c r="AG31" s="242"/>
      <c r="AH31" s="230"/>
      <c r="AI31" s="231"/>
      <c r="AJ31" s="231"/>
      <c r="AK31" s="231"/>
      <c r="AL31" s="231"/>
      <c r="AM31" s="232"/>
      <c r="AN31" s="80"/>
      <c r="AO31" s="293"/>
      <c r="AP31" s="294"/>
      <c r="AQ31" s="294"/>
      <c r="AR31" s="294"/>
      <c r="AS31" s="294"/>
      <c r="AT31" s="295"/>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row>
    <row r="32" spans="1:80" x14ac:dyDescent="0.4">
      <c r="A32" s="80"/>
      <c r="B32" s="261"/>
      <c r="C32" s="261"/>
      <c r="D32" s="262"/>
      <c r="E32" s="253"/>
      <c r="F32" s="254"/>
      <c r="G32" s="254"/>
      <c r="H32" s="254"/>
      <c r="I32" s="259"/>
      <c r="J32" s="212" t="str">
        <f ca="1">IF(AND('Mapa final'!$H$17="Baja",'Mapa final'!$L$17="Leve"),CONCATENATE("R",'Mapa final'!$A$17),"")</f>
        <v/>
      </c>
      <c r="K32" s="213"/>
      <c r="L32" s="213" t="str">
        <f ca="1">IF(AND('Mapa final'!$H$18="Baja",'Mapa final'!$L$18="Leve"),CONCATENATE("R",'Mapa final'!$A$18),"")</f>
        <v/>
      </c>
      <c r="M32" s="213"/>
      <c r="N32" s="213" t="str">
        <f ca="1">IF(AND('Mapa final'!$H$20="Baja",'Mapa final'!$L$20="Leve"),CONCATENATE("R",'Mapa final'!$A$20),"")</f>
        <v/>
      </c>
      <c r="O32" s="214"/>
      <c r="P32" s="222" t="str">
        <f ca="1">IF(AND('Mapa final'!$H$17="Baja",'Mapa final'!$L$17="Menor"),CONCATENATE("R",'Mapa final'!$A$17),"")</f>
        <v/>
      </c>
      <c r="Q32" s="222"/>
      <c r="R32" s="222" t="str">
        <f ca="1">IF(AND('Mapa final'!$H$18="Baja",'Mapa final'!$L$18="Menor"),CONCATENATE("R",'Mapa final'!$A$18),"")</f>
        <v/>
      </c>
      <c r="S32" s="222"/>
      <c r="T32" s="222" t="str">
        <f ca="1">IF(AND('Mapa final'!$H$20="Baja",'Mapa final'!$L$20="Menor"),CONCATENATE("R",'Mapa final'!$A$20),"")</f>
        <v/>
      </c>
      <c r="U32" s="223"/>
      <c r="V32" s="221" t="str">
        <f ca="1">IF(AND('Mapa final'!$H$17="Baja",'Mapa final'!$L$17="Moderado"),CONCATENATE("R",'Mapa final'!$A$17),"")</f>
        <v/>
      </c>
      <c r="W32" s="222"/>
      <c r="X32" s="222" t="str">
        <f ca="1">IF(AND('Mapa final'!$H$18="Baja",'Mapa final'!$L$18="Moderado"),CONCATENATE("R",'Mapa final'!$A$18),"")</f>
        <v/>
      </c>
      <c r="Y32" s="222"/>
      <c r="Z32" s="222" t="str">
        <f ca="1">IF(AND('Mapa final'!$H$20="Baja",'Mapa final'!$L$20="Moderado"),CONCATENATE("R",'Mapa final'!$A$20),"")</f>
        <v/>
      </c>
      <c r="AA32" s="223"/>
      <c r="AB32" s="239" t="str">
        <f ca="1">IF(AND('Mapa final'!$H$17="Baja",'Mapa final'!$L$17="Mayor"),CONCATENATE("R",'Mapa final'!$A$17),"")</f>
        <v/>
      </c>
      <c r="AC32" s="240"/>
      <c r="AD32" s="241" t="str">
        <f ca="1">IF(AND('Mapa final'!$H$18="Baja",'Mapa final'!$L$18="Mayor"),CONCATENATE("R",'Mapa final'!$A$18),"")</f>
        <v/>
      </c>
      <c r="AE32" s="241"/>
      <c r="AF32" s="241" t="str">
        <f ca="1">IF(AND('Mapa final'!$H$20="Baja",'Mapa final'!$L$20="Mayor"),CONCATENATE("R",'Mapa final'!$A$20),"")</f>
        <v/>
      </c>
      <c r="AG32" s="242"/>
      <c r="AH32" s="230" t="str">
        <f ca="1">IF(AND('Mapa final'!$H$17="Baja",'Mapa final'!$L$17="Catastrófico"),CONCATENATE("R",'Mapa final'!$A$17),"")</f>
        <v/>
      </c>
      <c r="AI32" s="231"/>
      <c r="AJ32" s="231" t="str">
        <f ca="1">IF(AND('Mapa final'!$H$18="Baja",'Mapa final'!$L$18="Catastrófico"),CONCATENATE("R",'Mapa final'!$A$18),"")</f>
        <v/>
      </c>
      <c r="AK32" s="231"/>
      <c r="AL32" s="231" t="str">
        <f ca="1">IF(AND('Mapa final'!$H$20="Baja",'Mapa final'!$L$20="Catastrófico"),CONCATENATE("R",'Mapa final'!$A$20),"")</f>
        <v/>
      </c>
      <c r="AM32" s="232"/>
      <c r="AN32" s="80"/>
      <c r="AO32" s="293"/>
      <c r="AP32" s="294"/>
      <c r="AQ32" s="294"/>
      <c r="AR32" s="294"/>
      <c r="AS32" s="294"/>
      <c r="AT32" s="295"/>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row>
    <row r="33" spans="1:80" x14ac:dyDescent="0.4">
      <c r="A33" s="80"/>
      <c r="B33" s="261"/>
      <c r="C33" s="261"/>
      <c r="D33" s="262"/>
      <c r="E33" s="253"/>
      <c r="F33" s="254"/>
      <c r="G33" s="254"/>
      <c r="H33" s="254"/>
      <c r="I33" s="259"/>
      <c r="J33" s="212"/>
      <c r="K33" s="213"/>
      <c r="L33" s="213"/>
      <c r="M33" s="213"/>
      <c r="N33" s="213"/>
      <c r="O33" s="214"/>
      <c r="P33" s="222"/>
      <c r="Q33" s="222"/>
      <c r="R33" s="222"/>
      <c r="S33" s="222"/>
      <c r="T33" s="222"/>
      <c r="U33" s="223"/>
      <c r="V33" s="221"/>
      <c r="W33" s="222"/>
      <c r="X33" s="222"/>
      <c r="Y33" s="222"/>
      <c r="Z33" s="222"/>
      <c r="AA33" s="223"/>
      <c r="AB33" s="239"/>
      <c r="AC33" s="240"/>
      <c r="AD33" s="241"/>
      <c r="AE33" s="241"/>
      <c r="AF33" s="241"/>
      <c r="AG33" s="242"/>
      <c r="AH33" s="230"/>
      <c r="AI33" s="231"/>
      <c r="AJ33" s="231"/>
      <c r="AK33" s="231"/>
      <c r="AL33" s="231"/>
      <c r="AM33" s="232"/>
      <c r="AN33" s="80"/>
      <c r="AO33" s="293"/>
      <c r="AP33" s="294"/>
      <c r="AQ33" s="294"/>
      <c r="AR33" s="294"/>
      <c r="AS33" s="294"/>
      <c r="AT33" s="295"/>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row>
    <row r="34" spans="1:80" x14ac:dyDescent="0.4">
      <c r="A34" s="80"/>
      <c r="B34" s="261"/>
      <c r="C34" s="261"/>
      <c r="D34" s="262"/>
      <c r="E34" s="253"/>
      <c r="F34" s="254"/>
      <c r="G34" s="254"/>
      <c r="H34" s="254"/>
      <c r="I34" s="259"/>
      <c r="J34" s="212" t="str">
        <f ca="1">IF(AND('Mapa final'!$H$21="Baja",'Mapa final'!$L$21="Leve"),CONCATENATE("R",'Mapa final'!$A$21),"")</f>
        <v/>
      </c>
      <c r="K34" s="213"/>
      <c r="L34" s="213" t="str">
        <f ca="1">IF(AND('Mapa final'!$H$24="Baja",'Mapa final'!$L$24="Leve"),CONCATENATE("R",'Mapa final'!$A$24),"")</f>
        <v/>
      </c>
      <c r="M34" s="213"/>
      <c r="N34" s="213" t="e">
        <f>IF(AND('Mapa final'!#REF!="Baja",'Mapa final'!#REF!="Leve"),CONCATENATE("R",'Mapa final'!#REF!),"")</f>
        <v>#REF!</v>
      </c>
      <c r="O34" s="214"/>
      <c r="P34" s="222" t="str">
        <f ca="1">IF(AND('Mapa final'!$H$21="Baja",'Mapa final'!$L$21="Menor"),CONCATENATE("R",'Mapa final'!$A$21),"")</f>
        <v/>
      </c>
      <c r="Q34" s="222"/>
      <c r="R34" s="222" t="str">
        <f ca="1">IF(AND('Mapa final'!$H$24="Baja",'Mapa final'!$L$24="Menor"),CONCATENATE("R",'Mapa final'!$A$24),"")</f>
        <v/>
      </c>
      <c r="S34" s="222"/>
      <c r="T34" s="222" t="e">
        <f>IF(AND('Mapa final'!#REF!="Baja",'Mapa final'!#REF!="Menor"),CONCATENATE("R",'Mapa final'!#REF!),"")</f>
        <v>#REF!</v>
      </c>
      <c r="U34" s="223"/>
      <c r="V34" s="221" t="str">
        <f ca="1">IF(AND('Mapa final'!$H$21="Baja",'Mapa final'!$L$21="Moderado"),CONCATENATE("R",'Mapa final'!$A$21),"")</f>
        <v/>
      </c>
      <c r="W34" s="222"/>
      <c r="X34" s="222" t="str">
        <f ca="1">IF(AND('Mapa final'!$H$24="Baja",'Mapa final'!$L$24="Moderado"),CONCATENATE("R",'Mapa final'!$A$24),"")</f>
        <v/>
      </c>
      <c r="Y34" s="222"/>
      <c r="Z34" s="222" t="e">
        <f>IF(AND('Mapa final'!#REF!="Baja",'Mapa final'!#REF!="Moderado"),CONCATENATE("R",'Mapa final'!#REF!),"")</f>
        <v>#REF!</v>
      </c>
      <c r="AA34" s="223"/>
      <c r="AB34" s="239" t="str">
        <f ca="1">IF(AND('Mapa final'!$H$21="Baja",'Mapa final'!$L$21="Mayor"),CONCATENATE("R",'Mapa final'!$A$21),"")</f>
        <v/>
      </c>
      <c r="AC34" s="240"/>
      <c r="AD34" s="241" t="str">
        <f ca="1">IF(AND('Mapa final'!$H$24="Baja",'Mapa final'!$L$24="Mayor"),CONCATENATE("R",'Mapa final'!$A$24),"")</f>
        <v/>
      </c>
      <c r="AE34" s="241"/>
      <c r="AF34" s="241" t="e">
        <f>IF(AND('Mapa final'!#REF!="Baja",'Mapa final'!#REF!="Mayor"),CONCATENATE("R",'Mapa final'!#REF!),"")</f>
        <v>#REF!</v>
      </c>
      <c r="AG34" s="242"/>
      <c r="AH34" s="230" t="str">
        <f ca="1">IF(AND('Mapa final'!$H$21="Baja",'Mapa final'!$L$21="Catastrófico"),CONCATENATE("R",'Mapa final'!$A$21),"")</f>
        <v/>
      </c>
      <c r="AI34" s="231"/>
      <c r="AJ34" s="231" t="str">
        <f ca="1">IF(AND('Mapa final'!$H$24="Baja",'Mapa final'!$L$24="Catastrófico"),CONCATENATE("R",'Mapa final'!$A$24),"")</f>
        <v/>
      </c>
      <c r="AK34" s="231"/>
      <c r="AL34" s="231" t="e">
        <f>IF(AND('Mapa final'!#REF!="Baja",'Mapa final'!#REF!="Catastrófico"),CONCATENATE("R",'Mapa final'!#REF!),"")</f>
        <v>#REF!</v>
      </c>
      <c r="AM34" s="232"/>
      <c r="AN34" s="80"/>
      <c r="AO34" s="293"/>
      <c r="AP34" s="294"/>
      <c r="AQ34" s="294"/>
      <c r="AR34" s="294"/>
      <c r="AS34" s="294"/>
      <c r="AT34" s="295"/>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row>
    <row r="35" spans="1:80" x14ac:dyDescent="0.4">
      <c r="A35" s="80"/>
      <c r="B35" s="261"/>
      <c r="C35" s="261"/>
      <c r="D35" s="262"/>
      <c r="E35" s="253"/>
      <c r="F35" s="254"/>
      <c r="G35" s="254"/>
      <c r="H35" s="254"/>
      <c r="I35" s="259"/>
      <c r="J35" s="212"/>
      <c r="K35" s="213"/>
      <c r="L35" s="213"/>
      <c r="M35" s="213"/>
      <c r="N35" s="213"/>
      <c r="O35" s="214"/>
      <c r="P35" s="222"/>
      <c r="Q35" s="222"/>
      <c r="R35" s="222"/>
      <c r="S35" s="222"/>
      <c r="T35" s="222"/>
      <c r="U35" s="223"/>
      <c r="V35" s="221"/>
      <c r="W35" s="222"/>
      <c r="X35" s="222"/>
      <c r="Y35" s="222"/>
      <c r="Z35" s="222"/>
      <c r="AA35" s="223"/>
      <c r="AB35" s="239"/>
      <c r="AC35" s="240"/>
      <c r="AD35" s="241"/>
      <c r="AE35" s="241"/>
      <c r="AF35" s="241"/>
      <c r="AG35" s="242"/>
      <c r="AH35" s="230"/>
      <c r="AI35" s="231"/>
      <c r="AJ35" s="231"/>
      <c r="AK35" s="231"/>
      <c r="AL35" s="231"/>
      <c r="AM35" s="232"/>
      <c r="AN35" s="80"/>
      <c r="AO35" s="293"/>
      <c r="AP35" s="294"/>
      <c r="AQ35" s="294"/>
      <c r="AR35" s="294"/>
      <c r="AS35" s="294"/>
      <c r="AT35" s="295"/>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row>
    <row r="36" spans="1:80" x14ac:dyDescent="0.4">
      <c r="A36" s="80"/>
      <c r="B36" s="261"/>
      <c r="C36" s="261"/>
      <c r="D36" s="262"/>
      <c r="E36" s="253"/>
      <c r="F36" s="254"/>
      <c r="G36" s="254"/>
      <c r="H36" s="254"/>
      <c r="I36" s="259"/>
      <c r="J36" s="212" t="e">
        <f>IF(AND('Mapa final'!#REF!="Baja",'Mapa final'!#REF!="Leve"),CONCATENATE("R",'Mapa final'!#REF!),"")</f>
        <v>#REF!</v>
      </c>
      <c r="K36" s="213"/>
      <c r="L36" s="213" t="str">
        <f>IF(AND('Mapa final'!$H$25="Baja",'Mapa final'!$L$25="Leve"),CONCATENATE("R",'Mapa final'!$A$25),"")</f>
        <v/>
      </c>
      <c r="M36" s="213"/>
      <c r="N36" s="213" t="str">
        <f>IF(AND('Mapa final'!$H$31="Baja",'Mapa final'!$L$31="Leve"),CONCATENATE("R",'Mapa final'!$A$31),"")</f>
        <v/>
      </c>
      <c r="O36" s="214"/>
      <c r="P36" s="222" t="e">
        <f>IF(AND('Mapa final'!#REF!="Baja",'Mapa final'!#REF!="Menor"),CONCATENATE("R",'Mapa final'!#REF!),"")</f>
        <v>#REF!</v>
      </c>
      <c r="Q36" s="222"/>
      <c r="R36" s="222" t="str">
        <f>IF(AND('Mapa final'!$H$25="Baja",'Mapa final'!$L$25="Menor"),CONCATENATE("R",'Mapa final'!$A$25),"")</f>
        <v/>
      </c>
      <c r="S36" s="222"/>
      <c r="T36" s="222" t="str">
        <f>IF(AND('Mapa final'!$H$31="Baja",'Mapa final'!$L$31="Menor"),CONCATENATE("R",'Mapa final'!$A$31),"")</f>
        <v/>
      </c>
      <c r="U36" s="223"/>
      <c r="V36" s="221" t="e">
        <f>IF(AND('Mapa final'!#REF!="Baja",'Mapa final'!#REF!="Moderado"),CONCATENATE("R",'Mapa final'!#REF!),"")</f>
        <v>#REF!</v>
      </c>
      <c r="W36" s="222"/>
      <c r="X36" s="222" t="str">
        <f>IF(AND('Mapa final'!$H$25="Baja",'Mapa final'!$L$25="Moderado"),CONCATENATE("R",'Mapa final'!$A$25),"")</f>
        <v/>
      </c>
      <c r="Y36" s="222"/>
      <c r="Z36" s="222" t="str">
        <f>IF(AND('Mapa final'!$H$31="Baja",'Mapa final'!$L$31="Moderado"),CONCATENATE("R",'Mapa final'!$A$31),"")</f>
        <v/>
      </c>
      <c r="AA36" s="223"/>
      <c r="AB36" s="239" t="e">
        <f>IF(AND('Mapa final'!#REF!="Baja",'Mapa final'!#REF!="Mayor"),CONCATENATE("R",'Mapa final'!#REF!),"")</f>
        <v>#REF!</v>
      </c>
      <c r="AC36" s="240"/>
      <c r="AD36" s="241" t="str">
        <f>IF(AND('Mapa final'!$H$25="Baja",'Mapa final'!$L$25="Mayor"),CONCATENATE("R",'Mapa final'!$A$25),"")</f>
        <v/>
      </c>
      <c r="AE36" s="241"/>
      <c r="AF36" s="241" t="str">
        <f>IF(AND('Mapa final'!$H$31="Baja",'Mapa final'!$L$31="Mayor"),CONCATENATE("R",'Mapa final'!$A$31),"")</f>
        <v/>
      </c>
      <c r="AG36" s="242"/>
      <c r="AH36" s="230" t="e">
        <f>IF(AND('Mapa final'!#REF!="Baja",'Mapa final'!#REF!="Catastrófico"),CONCATENATE("R",'Mapa final'!#REF!),"")</f>
        <v>#REF!</v>
      </c>
      <c r="AI36" s="231"/>
      <c r="AJ36" s="231" t="str">
        <f>IF(AND('Mapa final'!$H$25="Baja",'Mapa final'!$L$25="Catastrófico"),CONCATENATE("R",'Mapa final'!$A$25),"")</f>
        <v/>
      </c>
      <c r="AK36" s="231"/>
      <c r="AL36" s="231" t="str">
        <f>IF(AND('Mapa final'!$H$31="Baja",'Mapa final'!$L$31="Catastrófico"),CONCATENATE("R",'Mapa final'!$A$31),"")</f>
        <v/>
      </c>
      <c r="AM36" s="232"/>
      <c r="AN36" s="80"/>
      <c r="AO36" s="293"/>
      <c r="AP36" s="294"/>
      <c r="AQ36" s="294"/>
      <c r="AR36" s="294"/>
      <c r="AS36" s="294"/>
      <c r="AT36" s="295"/>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row>
    <row r="37" spans="1:80" ht="15" thickBot="1" x14ac:dyDescent="0.45">
      <c r="A37" s="80"/>
      <c r="B37" s="261"/>
      <c r="C37" s="261"/>
      <c r="D37" s="262"/>
      <c r="E37" s="256"/>
      <c r="F37" s="257"/>
      <c r="G37" s="257"/>
      <c r="H37" s="257"/>
      <c r="I37" s="257"/>
      <c r="J37" s="215"/>
      <c r="K37" s="216"/>
      <c r="L37" s="216"/>
      <c r="M37" s="216"/>
      <c r="N37" s="216"/>
      <c r="O37" s="217"/>
      <c r="P37" s="225"/>
      <c r="Q37" s="225"/>
      <c r="R37" s="225"/>
      <c r="S37" s="225"/>
      <c r="T37" s="225"/>
      <c r="U37" s="226"/>
      <c r="V37" s="224"/>
      <c r="W37" s="225"/>
      <c r="X37" s="225"/>
      <c r="Y37" s="225"/>
      <c r="Z37" s="225"/>
      <c r="AA37" s="226"/>
      <c r="AB37" s="243"/>
      <c r="AC37" s="244"/>
      <c r="AD37" s="244"/>
      <c r="AE37" s="244"/>
      <c r="AF37" s="244"/>
      <c r="AG37" s="245"/>
      <c r="AH37" s="233"/>
      <c r="AI37" s="234"/>
      <c r="AJ37" s="234"/>
      <c r="AK37" s="234"/>
      <c r="AL37" s="234"/>
      <c r="AM37" s="235"/>
      <c r="AN37" s="80"/>
      <c r="AO37" s="296"/>
      <c r="AP37" s="297"/>
      <c r="AQ37" s="297"/>
      <c r="AR37" s="297"/>
      <c r="AS37" s="297"/>
      <c r="AT37" s="298"/>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row>
    <row r="38" spans="1:80" x14ac:dyDescent="0.4">
      <c r="A38" s="80"/>
      <c r="B38" s="261"/>
      <c r="C38" s="261"/>
      <c r="D38" s="262"/>
      <c r="E38" s="250" t="s">
        <v>112</v>
      </c>
      <c r="F38" s="251"/>
      <c r="G38" s="251"/>
      <c r="H38" s="251"/>
      <c r="I38" s="252"/>
      <c r="J38" s="218" t="str">
        <f ca="1">IF(AND('Mapa final'!$H$10="Muy Baja",'Mapa final'!$L$10="Leve"),CONCATENATE("R",'Mapa final'!$A$10),"")</f>
        <v/>
      </c>
      <c r="K38" s="219"/>
      <c r="L38" s="219" t="str">
        <f ca="1">IF(AND('Mapa final'!$H$11="Muy Baja",'Mapa final'!$L$11="Leve"),CONCATENATE("R",'Mapa final'!$A$11),"")</f>
        <v/>
      </c>
      <c r="M38" s="219"/>
      <c r="N38" s="219" t="str">
        <f ca="1">IF(AND('Mapa final'!$H$15="Muy Baja",'Mapa final'!$L$15="Leve"),CONCATENATE("R",'Mapa final'!$A$15),"")</f>
        <v/>
      </c>
      <c r="O38" s="220"/>
      <c r="P38" s="218" t="str">
        <f ca="1">IF(AND('Mapa final'!$H$10="Muy Baja",'Mapa final'!$L$10="Menor"),CONCATENATE("R",'Mapa final'!$A$10),"")</f>
        <v/>
      </c>
      <c r="Q38" s="219"/>
      <c r="R38" s="219" t="str">
        <f ca="1">IF(AND('Mapa final'!$H$11="Muy Baja",'Mapa final'!$L$11="Menor"),CONCATENATE("R",'Mapa final'!$A$11),"")</f>
        <v/>
      </c>
      <c r="S38" s="219"/>
      <c r="T38" s="219" t="str">
        <f ca="1">IF(AND('Mapa final'!$H$15="Muy Baja",'Mapa final'!$L$15="Menor"),CONCATENATE("R",'Mapa final'!$A$15),"")</f>
        <v/>
      </c>
      <c r="U38" s="220"/>
      <c r="V38" s="227" t="str">
        <f ca="1">IF(AND('Mapa final'!$H$10="Muy Baja",'Mapa final'!$L$10="Moderado"),CONCATENATE("R",'Mapa final'!$A$10),"")</f>
        <v/>
      </c>
      <c r="W38" s="228"/>
      <c r="X38" s="228" t="str">
        <f ca="1">IF(AND('Mapa final'!$H$11="Muy Baja",'Mapa final'!$L$11="Moderado"),CONCATENATE("R",'Mapa final'!$A$11),"")</f>
        <v/>
      </c>
      <c r="Y38" s="228"/>
      <c r="Z38" s="228" t="str">
        <f ca="1">IF(AND('Mapa final'!$H$15="Muy Baja",'Mapa final'!$L$15="Moderado"),CONCATENATE("R",'Mapa final'!$A$15),"")</f>
        <v/>
      </c>
      <c r="AA38" s="229"/>
      <c r="AB38" s="246" t="str">
        <f ca="1">IF(AND('Mapa final'!$H$10="Muy Baja",'Mapa final'!$L$10="Mayor"),CONCATENATE("R",'Mapa final'!$A$10),"")</f>
        <v/>
      </c>
      <c r="AC38" s="247"/>
      <c r="AD38" s="247" t="str">
        <f ca="1">IF(AND('Mapa final'!$H$11="Muy Baja",'Mapa final'!$L$11="Mayor"),CONCATENATE("R",'Mapa final'!$A$11),"")</f>
        <v/>
      </c>
      <c r="AE38" s="247"/>
      <c r="AF38" s="247" t="str">
        <f ca="1">IF(AND('Mapa final'!$H$15="Muy Baja",'Mapa final'!$L$15="Mayor"),CONCATENATE("R",'Mapa final'!$A$15),"")</f>
        <v/>
      </c>
      <c r="AG38" s="248"/>
      <c r="AH38" s="236" t="str">
        <f ca="1">IF(AND('Mapa final'!$H$10="Muy Baja",'Mapa final'!$L$10="Catastrófico"),CONCATENATE("R",'Mapa final'!$A$10),"")</f>
        <v/>
      </c>
      <c r="AI38" s="237"/>
      <c r="AJ38" s="237" t="str">
        <f ca="1">IF(AND('Mapa final'!$H$11="Muy Baja",'Mapa final'!$L$11="Catastrófico"),CONCATENATE("R",'Mapa final'!$A$11),"")</f>
        <v/>
      </c>
      <c r="AK38" s="237"/>
      <c r="AL38" s="237" t="str">
        <f ca="1">IF(AND('Mapa final'!$H$15="Muy Baja",'Mapa final'!$L$15="Catastrófico"),CONCATENATE("R",'Mapa final'!$A$15),"")</f>
        <v/>
      </c>
      <c r="AM38" s="238"/>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row>
    <row r="39" spans="1:80" x14ac:dyDescent="0.4">
      <c r="A39" s="80"/>
      <c r="B39" s="261"/>
      <c r="C39" s="261"/>
      <c r="D39" s="262"/>
      <c r="E39" s="253"/>
      <c r="F39" s="254"/>
      <c r="G39" s="254"/>
      <c r="H39" s="254"/>
      <c r="I39" s="255"/>
      <c r="J39" s="212"/>
      <c r="K39" s="213"/>
      <c r="L39" s="213"/>
      <c r="M39" s="213"/>
      <c r="N39" s="213"/>
      <c r="O39" s="214"/>
      <c r="P39" s="212"/>
      <c r="Q39" s="213"/>
      <c r="R39" s="213"/>
      <c r="S39" s="213"/>
      <c r="T39" s="213"/>
      <c r="U39" s="214"/>
      <c r="V39" s="221"/>
      <c r="W39" s="222"/>
      <c r="X39" s="222"/>
      <c r="Y39" s="222"/>
      <c r="Z39" s="222"/>
      <c r="AA39" s="223"/>
      <c r="AB39" s="239"/>
      <c r="AC39" s="240"/>
      <c r="AD39" s="240"/>
      <c r="AE39" s="240"/>
      <c r="AF39" s="240"/>
      <c r="AG39" s="242"/>
      <c r="AH39" s="230"/>
      <c r="AI39" s="231"/>
      <c r="AJ39" s="231"/>
      <c r="AK39" s="231"/>
      <c r="AL39" s="231"/>
      <c r="AM39" s="232"/>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row>
    <row r="40" spans="1:80" x14ac:dyDescent="0.4">
      <c r="A40" s="80"/>
      <c r="B40" s="261"/>
      <c r="C40" s="261"/>
      <c r="D40" s="262"/>
      <c r="E40" s="253"/>
      <c r="F40" s="254"/>
      <c r="G40" s="254"/>
      <c r="H40" s="254"/>
      <c r="I40" s="255"/>
      <c r="J40" s="212" t="str">
        <f ca="1">IF(AND('Mapa final'!$H$17="Muy Baja",'Mapa final'!$L$17="Leve"),CONCATENATE("R",'Mapa final'!$A$17),"")</f>
        <v/>
      </c>
      <c r="K40" s="213"/>
      <c r="L40" s="213" t="str">
        <f ca="1">IF(AND('Mapa final'!$H$18="Muy Baja",'Mapa final'!$L$18="Leve"),CONCATENATE("R",'Mapa final'!$A$18),"")</f>
        <v/>
      </c>
      <c r="M40" s="213"/>
      <c r="N40" s="213" t="str">
        <f ca="1">IF(AND('Mapa final'!$H$20="Muy Baja",'Mapa final'!$L$20="Leve"),CONCATENATE("R",'Mapa final'!$A$20),"")</f>
        <v/>
      </c>
      <c r="O40" s="214"/>
      <c r="P40" s="212" t="str">
        <f ca="1">IF(AND('Mapa final'!$H$17="Muy Baja",'Mapa final'!$L$17="Menor"),CONCATENATE("R",'Mapa final'!$A$17),"")</f>
        <v/>
      </c>
      <c r="Q40" s="213"/>
      <c r="R40" s="213" t="str">
        <f ca="1">IF(AND('Mapa final'!$H$18="Muy Baja",'Mapa final'!$L$18="Menor"),CONCATENATE("R",'Mapa final'!$A$18),"")</f>
        <v/>
      </c>
      <c r="S40" s="213"/>
      <c r="T40" s="213" t="str">
        <f ca="1">IF(AND('Mapa final'!$H$20="Muy Baja",'Mapa final'!$L$20="Menor"),CONCATENATE("R",'Mapa final'!$A$20),"")</f>
        <v/>
      </c>
      <c r="U40" s="214"/>
      <c r="V40" s="221" t="str">
        <f ca="1">IF(AND('Mapa final'!$H$17="Muy Baja",'Mapa final'!$L$17="Moderado"),CONCATENATE("R",'Mapa final'!$A$17),"")</f>
        <v/>
      </c>
      <c r="W40" s="222"/>
      <c r="X40" s="222" t="str">
        <f ca="1">IF(AND('Mapa final'!$H$18="Muy Baja",'Mapa final'!$L$18="Moderado"),CONCATENATE("R",'Mapa final'!$A$18),"")</f>
        <v/>
      </c>
      <c r="Y40" s="222"/>
      <c r="Z40" s="222" t="str">
        <f ca="1">IF(AND('Mapa final'!$H$20="Muy Baja",'Mapa final'!$L$20="Moderado"),CONCATENATE("R",'Mapa final'!$A$20),"")</f>
        <v/>
      </c>
      <c r="AA40" s="223"/>
      <c r="AB40" s="239" t="str">
        <f ca="1">IF(AND('Mapa final'!$H$17="Muy Baja",'Mapa final'!$L$17="Mayor"),CONCATENATE("R",'Mapa final'!$A$17),"")</f>
        <v/>
      </c>
      <c r="AC40" s="240"/>
      <c r="AD40" s="241" t="str">
        <f ca="1">IF(AND('Mapa final'!$H$18="Muy Baja",'Mapa final'!$L$18="Mayor"),CONCATENATE("R",'Mapa final'!$A$18),"")</f>
        <v/>
      </c>
      <c r="AE40" s="241"/>
      <c r="AF40" s="241" t="str">
        <f ca="1">IF(AND('Mapa final'!$H$20="Muy Baja",'Mapa final'!$L$20="Mayor"),CONCATENATE("R",'Mapa final'!$A$20),"")</f>
        <v/>
      </c>
      <c r="AG40" s="242"/>
      <c r="AH40" s="230" t="str">
        <f ca="1">IF(AND('Mapa final'!$H$17="Muy Baja",'Mapa final'!$L$17="Catastrófico"),CONCATENATE("R",'Mapa final'!$A$17),"")</f>
        <v/>
      </c>
      <c r="AI40" s="231"/>
      <c r="AJ40" s="231" t="str">
        <f ca="1">IF(AND('Mapa final'!$H$18="Muy Baja",'Mapa final'!$L$18="Catastrófico"),CONCATENATE("R",'Mapa final'!$A$18),"")</f>
        <v/>
      </c>
      <c r="AK40" s="231"/>
      <c r="AL40" s="231" t="str">
        <f ca="1">IF(AND('Mapa final'!$H$20="Muy Baja",'Mapa final'!$L$20="Catastrófico"),CONCATENATE("R",'Mapa final'!$A$20),"")</f>
        <v/>
      </c>
      <c r="AM40" s="232"/>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row>
    <row r="41" spans="1:80" x14ac:dyDescent="0.4">
      <c r="A41" s="80"/>
      <c r="B41" s="261"/>
      <c r="C41" s="261"/>
      <c r="D41" s="262"/>
      <c r="E41" s="253"/>
      <c r="F41" s="254"/>
      <c r="G41" s="254"/>
      <c r="H41" s="254"/>
      <c r="I41" s="255"/>
      <c r="J41" s="212"/>
      <c r="K41" s="213"/>
      <c r="L41" s="213"/>
      <c r="M41" s="213"/>
      <c r="N41" s="213"/>
      <c r="O41" s="214"/>
      <c r="P41" s="212"/>
      <c r="Q41" s="213"/>
      <c r="R41" s="213"/>
      <c r="S41" s="213"/>
      <c r="T41" s="213"/>
      <c r="U41" s="214"/>
      <c r="V41" s="221"/>
      <c r="W41" s="222"/>
      <c r="X41" s="222"/>
      <c r="Y41" s="222"/>
      <c r="Z41" s="222"/>
      <c r="AA41" s="223"/>
      <c r="AB41" s="239"/>
      <c r="AC41" s="240"/>
      <c r="AD41" s="241"/>
      <c r="AE41" s="241"/>
      <c r="AF41" s="241"/>
      <c r="AG41" s="242"/>
      <c r="AH41" s="230"/>
      <c r="AI41" s="231"/>
      <c r="AJ41" s="231"/>
      <c r="AK41" s="231"/>
      <c r="AL41" s="231"/>
      <c r="AM41" s="232"/>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row>
    <row r="42" spans="1:80" x14ac:dyDescent="0.4">
      <c r="A42" s="80"/>
      <c r="B42" s="261"/>
      <c r="C42" s="261"/>
      <c r="D42" s="262"/>
      <c r="E42" s="253"/>
      <c r="F42" s="254"/>
      <c r="G42" s="254"/>
      <c r="H42" s="254"/>
      <c r="I42" s="255"/>
      <c r="J42" s="212" t="str">
        <f ca="1">IF(AND('Mapa final'!$H$21="Muy Baja",'Mapa final'!$L$21="Leve"),CONCATENATE("R",'Mapa final'!$A$21),"")</f>
        <v/>
      </c>
      <c r="K42" s="213"/>
      <c r="L42" s="213" t="str">
        <f ca="1">IF(AND('Mapa final'!$H$24="Muy Baja",'Mapa final'!$L$24="Leve"),CONCATENATE("R",'Mapa final'!$A$24),"")</f>
        <v/>
      </c>
      <c r="M42" s="213"/>
      <c r="N42" s="213" t="e">
        <f>IF(AND('Mapa final'!#REF!="Muy Baja",'Mapa final'!#REF!="Leve"),CONCATENATE("R",'Mapa final'!#REF!),"")</f>
        <v>#REF!</v>
      </c>
      <c r="O42" s="214"/>
      <c r="P42" s="212" t="str">
        <f ca="1">IF(AND('Mapa final'!$H$21="Muy Baja",'Mapa final'!$L$21="Menor"),CONCATENATE("R",'Mapa final'!$A$21),"")</f>
        <v/>
      </c>
      <c r="Q42" s="213"/>
      <c r="R42" s="213" t="str">
        <f ca="1">IF(AND('Mapa final'!$H$24="Muy Baja",'Mapa final'!$L$24="Menor"),CONCATENATE("R",'Mapa final'!$A$24),"")</f>
        <v>R8</v>
      </c>
      <c r="S42" s="213"/>
      <c r="T42" s="213" t="e">
        <f>IF(AND('Mapa final'!#REF!="Muy Baja",'Mapa final'!#REF!="Menor"),CONCATENATE("R",'Mapa final'!#REF!),"")</f>
        <v>#REF!</v>
      </c>
      <c r="U42" s="214"/>
      <c r="V42" s="221" t="str">
        <f ca="1">IF(AND('Mapa final'!$H$21="Muy Baja",'Mapa final'!$L$21="Moderado"),CONCATENATE("R",'Mapa final'!$A$21),"")</f>
        <v/>
      </c>
      <c r="W42" s="222"/>
      <c r="X42" s="222" t="str">
        <f ca="1">IF(AND('Mapa final'!$H$24="Muy Baja",'Mapa final'!$L$24="Moderado"),CONCATENATE("R",'Mapa final'!$A$24),"")</f>
        <v/>
      </c>
      <c r="Y42" s="222"/>
      <c r="Z42" s="222" t="e">
        <f>IF(AND('Mapa final'!#REF!="Muy Baja",'Mapa final'!#REF!="Moderado"),CONCATENATE("R",'Mapa final'!#REF!),"")</f>
        <v>#REF!</v>
      </c>
      <c r="AA42" s="223"/>
      <c r="AB42" s="239" t="str">
        <f ca="1">IF(AND('Mapa final'!$H$21="Muy Baja",'Mapa final'!$L$21="Mayor"),CONCATENATE("R",'Mapa final'!$A$21),"")</f>
        <v/>
      </c>
      <c r="AC42" s="240"/>
      <c r="AD42" s="241" t="str">
        <f ca="1">IF(AND('Mapa final'!$H$24="Muy Baja",'Mapa final'!$L$24="Mayor"),CONCATENATE("R",'Mapa final'!$A$24),"")</f>
        <v/>
      </c>
      <c r="AE42" s="241"/>
      <c r="AF42" s="241" t="e">
        <f>IF(AND('Mapa final'!#REF!="Muy Baja",'Mapa final'!#REF!="Mayor"),CONCATENATE("R",'Mapa final'!#REF!),"")</f>
        <v>#REF!</v>
      </c>
      <c r="AG42" s="242"/>
      <c r="AH42" s="230" t="str">
        <f ca="1">IF(AND('Mapa final'!$H$21="Muy Baja",'Mapa final'!$L$21="Catastrófico"),CONCATENATE("R",'Mapa final'!$A$21),"")</f>
        <v/>
      </c>
      <c r="AI42" s="231"/>
      <c r="AJ42" s="231" t="str">
        <f ca="1">IF(AND('Mapa final'!$H$24="Muy Baja",'Mapa final'!$L$24="Catastrófico"),CONCATENATE("R",'Mapa final'!$A$24),"")</f>
        <v/>
      </c>
      <c r="AK42" s="231"/>
      <c r="AL42" s="231" t="e">
        <f>IF(AND('Mapa final'!#REF!="Muy Baja",'Mapa final'!#REF!="Catastrófico"),CONCATENATE("R",'Mapa final'!#REF!),"")</f>
        <v>#REF!</v>
      </c>
      <c r="AM42" s="232"/>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row>
    <row r="43" spans="1:80" x14ac:dyDescent="0.4">
      <c r="A43" s="80"/>
      <c r="B43" s="261"/>
      <c r="C43" s="261"/>
      <c r="D43" s="262"/>
      <c r="E43" s="253"/>
      <c r="F43" s="254"/>
      <c r="G43" s="254"/>
      <c r="H43" s="254"/>
      <c r="I43" s="255"/>
      <c r="J43" s="212"/>
      <c r="K43" s="213"/>
      <c r="L43" s="213"/>
      <c r="M43" s="213"/>
      <c r="N43" s="213"/>
      <c r="O43" s="214"/>
      <c r="P43" s="212"/>
      <c r="Q43" s="213"/>
      <c r="R43" s="213"/>
      <c r="S43" s="213"/>
      <c r="T43" s="213"/>
      <c r="U43" s="214"/>
      <c r="V43" s="221"/>
      <c r="W43" s="222"/>
      <c r="X43" s="222"/>
      <c r="Y43" s="222"/>
      <c r="Z43" s="222"/>
      <c r="AA43" s="223"/>
      <c r="AB43" s="239"/>
      <c r="AC43" s="240"/>
      <c r="AD43" s="241"/>
      <c r="AE43" s="241"/>
      <c r="AF43" s="241"/>
      <c r="AG43" s="242"/>
      <c r="AH43" s="230"/>
      <c r="AI43" s="231"/>
      <c r="AJ43" s="231"/>
      <c r="AK43" s="231"/>
      <c r="AL43" s="231"/>
      <c r="AM43" s="232"/>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row>
    <row r="44" spans="1:80" x14ac:dyDescent="0.4">
      <c r="A44" s="80"/>
      <c r="B44" s="261"/>
      <c r="C44" s="261"/>
      <c r="D44" s="262"/>
      <c r="E44" s="253"/>
      <c r="F44" s="254"/>
      <c r="G44" s="254"/>
      <c r="H44" s="254"/>
      <c r="I44" s="255"/>
      <c r="J44" s="212" t="e">
        <f>IF(AND('Mapa final'!#REF!="Muy Baja",'Mapa final'!#REF!="Leve"),CONCATENATE("R",'Mapa final'!#REF!),"")</f>
        <v>#REF!</v>
      </c>
      <c r="K44" s="213"/>
      <c r="L44" s="213" t="str">
        <f>IF(AND('Mapa final'!$H$25="Muy Baja",'Mapa final'!$L$25="Leve"),CONCATENATE("R",'Mapa final'!$A$25),"")</f>
        <v/>
      </c>
      <c r="M44" s="213"/>
      <c r="N44" s="213" t="str">
        <f>IF(AND('Mapa final'!$H$31="Muy Baja",'Mapa final'!$L$31="Leve"),CONCATENATE("R",'Mapa final'!$A$31),"")</f>
        <v/>
      </c>
      <c r="O44" s="214"/>
      <c r="P44" s="212" t="e">
        <f>IF(AND('Mapa final'!#REF!="Muy Baja",'Mapa final'!#REF!="Menor"),CONCATENATE("R",'Mapa final'!#REF!),"")</f>
        <v>#REF!</v>
      </c>
      <c r="Q44" s="213"/>
      <c r="R44" s="213" t="str">
        <f>IF(AND('Mapa final'!$H$25="Muy Baja",'Mapa final'!$L$25="Menor"),CONCATENATE("R",'Mapa final'!$A$25),"")</f>
        <v/>
      </c>
      <c r="S44" s="213"/>
      <c r="T44" s="213" t="str">
        <f>IF(AND('Mapa final'!$H$31="Muy Baja",'Mapa final'!$L$31="Menor"),CONCATENATE("R",'Mapa final'!$A$31),"")</f>
        <v/>
      </c>
      <c r="U44" s="214"/>
      <c r="V44" s="221" t="e">
        <f>IF(AND('Mapa final'!#REF!="Muy Baja",'Mapa final'!#REF!="Moderado"),CONCATENATE("R",'Mapa final'!#REF!),"")</f>
        <v>#REF!</v>
      </c>
      <c r="W44" s="222"/>
      <c r="X44" s="222" t="str">
        <f>IF(AND('Mapa final'!$H$25="Muy Baja",'Mapa final'!$L$25="Moderado"),CONCATENATE("R",'Mapa final'!$A$25),"")</f>
        <v/>
      </c>
      <c r="Y44" s="222"/>
      <c r="Z44" s="222" t="str">
        <f>IF(AND('Mapa final'!$H$31="Muy Baja",'Mapa final'!$L$31="Moderado"),CONCATENATE("R",'Mapa final'!$A$31),"")</f>
        <v/>
      </c>
      <c r="AA44" s="223"/>
      <c r="AB44" s="239" t="e">
        <f>IF(AND('Mapa final'!#REF!="Muy Baja",'Mapa final'!#REF!="Mayor"),CONCATENATE("R",'Mapa final'!#REF!),"")</f>
        <v>#REF!</v>
      </c>
      <c r="AC44" s="240"/>
      <c r="AD44" s="241" t="str">
        <f>IF(AND('Mapa final'!$H$25="Muy Baja",'Mapa final'!$L$25="Mayor"),CONCATENATE("R",'Mapa final'!$A$25),"")</f>
        <v/>
      </c>
      <c r="AE44" s="241"/>
      <c r="AF44" s="241" t="str">
        <f>IF(AND('Mapa final'!$H$31="Muy Baja",'Mapa final'!$L$31="Mayor"),CONCATENATE("R",'Mapa final'!$A$31),"")</f>
        <v/>
      </c>
      <c r="AG44" s="242"/>
      <c r="AH44" s="230" t="e">
        <f>IF(AND('Mapa final'!#REF!="Muy Baja",'Mapa final'!#REF!="Catastrófico"),CONCATENATE("R",'Mapa final'!#REF!),"")</f>
        <v>#REF!</v>
      </c>
      <c r="AI44" s="231"/>
      <c r="AJ44" s="231" t="str">
        <f>IF(AND('Mapa final'!$H$25="Muy Baja",'Mapa final'!$L$25="Catastrófico"),CONCATENATE("R",'Mapa final'!$A$25),"")</f>
        <v/>
      </c>
      <c r="AK44" s="231"/>
      <c r="AL44" s="231" t="str">
        <f>IF(AND('Mapa final'!$H$31="Muy Baja",'Mapa final'!$L$31="Catastrófico"),CONCATENATE("R",'Mapa final'!$A$31),"")</f>
        <v/>
      </c>
      <c r="AM44" s="232"/>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row>
    <row r="45" spans="1:80" ht="15" thickBot="1" x14ac:dyDescent="0.45">
      <c r="A45" s="80"/>
      <c r="B45" s="261"/>
      <c r="C45" s="261"/>
      <c r="D45" s="262"/>
      <c r="E45" s="256"/>
      <c r="F45" s="257"/>
      <c r="G45" s="257"/>
      <c r="H45" s="257"/>
      <c r="I45" s="258"/>
      <c r="J45" s="215"/>
      <c r="K45" s="216"/>
      <c r="L45" s="216"/>
      <c r="M45" s="216"/>
      <c r="N45" s="216"/>
      <c r="O45" s="217"/>
      <c r="P45" s="215"/>
      <c r="Q45" s="216"/>
      <c r="R45" s="216"/>
      <c r="S45" s="216"/>
      <c r="T45" s="216"/>
      <c r="U45" s="217"/>
      <c r="V45" s="224"/>
      <c r="W45" s="225"/>
      <c r="X45" s="225"/>
      <c r="Y45" s="225"/>
      <c r="Z45" s="225"/>
      <c r="AA45" s="226"/>
      <c r="AB45" s="243"/>
      <c r="AC45" s="244"/>
      <c r="AD45" s="244"/>
      <c r="AE45" s="244"/>
      <c r="AF45" s="244"/>
      <c r="AG45" s="245"/>
      <c r="AH45" s="233"/>
      <c r="AI45" s="234"/>
      <c r="AJ45" s="234"/>
      <c r="AK45" s="234"/>
      <c r="AL45" s="234"/>
      <c r="AM45" s="235"/>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row>
    <row r="46" spans="1:80" x14ac:dyDescent="0.4">
      <c r="A46" s="80"/>
      <c r="B46" s="80"/>
      <c r="C46" s="80"/>
      <c r="D46" s="80"/>
      <c r="E46" s="80"/>
      <c r="F46" s="80"/>
      <c r="G46" s="80"/>
      <c r="H46" s="80"/>
      <c r="I46" s="80"/>
      <c r="J46" s="250" t="s">
        <v>111</v>
      </c>
      <c r="K46" s="251"/>
      <c r="L46" s="251"/>
      <c r="M46" s="251"/>
      <c r="N46" s="251"/>
      <c r="O46" s="252"/>
      <c r="P46" s="250" t="s">
        <v>110</v>
      </c>
      <c r="Q46" s="251"/>
      <c r="R46" s="251"/>
      <c r="S46" s="251"/>
      <c r="T46" s="251"/>
      <c r="U46" s="252"/>
      <c r="V46" s="250" t="s">
        <v>109</v>
      </c>
      <c r="W46" s="251"/>
      <c r="X46" s="251"/>
      <c r="Y46" s="251"/>
      <c r="Z46" s="251"/>
      <c r="AA46" s="252"/>
      <c r="AB46" s="250" t="s">
        <v>108</v>
      </c>
      <c r="AC46" s="260"/>
      <c r="AD46" s="251"/>
      <c r="AE46" s="251"/>
      <c r="AF46" s="251"/>
      <c r="AG46" s="252"/>
      <c r="AH46" s="250" t="s">
        <v>107</v>
      </c>
      <c r="AI46" s="251"/>
      <c r="AJ46" s="251"/>
      <c r="AK46" s="251"/>
      <c r="AL46" s="251"/>
      <c r="AM46" s="252"/>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row>
    <row r="47" spans="1:80" x14ac:dyDescent="0.4">
      <c r="A47" s="80"/>
      <c r="B47" s="80"/>
      <c r="C47" s="80"/>
      <c r="D47" s="80"/>
      <c r="E47" s="80"/>
      <c r="F47" s="80"/>
      <c r="G47" s="80"/>
      <c r="H47" s="80"/>
      <c r="I47" s="80"/>
      <c r="J47" s="253"/>
      <c r="K47" s="254"/>
      <c r="L47" s="254"/>
      <c r="M47" s="254"/>
      <c r="N47" s="254"/>
      <c r="O47" s="255"/>
      <c r="P47" s="253"/>
      <c r="Q47" s="254"/>
      <c r="R47" s="254"/>
      <c r="S47" s="254"/>
      <c r="T47" s="254"/>
      <c r="U47" s="255"/>
      <c r="V47" s="253"/>
      <c r="W47" s="254"/>
      <c r="X47" s="254"/>
      <c r="Y47" s="254"/>
      <c r="Z47" s="254"/>
      <c r="AA47" s="255"/>
      <c r="AB47" s="253"/>
      <c r="AC47" s="254"/>
      <c r="AD47" s="254"/>
      <c r="AE47" s="254"/>
      <c r="AF47" s="254"/>
      <c r="AG47" s="255"/>
      <c r="AH47" s="253"/>
      <c r="AI47" s="254"/>
      <c r="AJ47" s="254"/>
      <c r="AK47" s="254"/>
      <c r="AL47" s="254"/>
      <c r="AM47" s="255"/>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row>
    <row r="48" spans="1:80" x14ac:dyDescent="0.4">
      <c r="A48" s="80"/>
      <c r="B48" s="80"/>
      <c r="C48" s="80"/>
      <c r="D48" s="80"/>
      <c r="E48" s="80"/>
      <c r="F48" s="80"/>
      <c r="G48" s="80"/>
      <c r="H48" s="80"/>
      <c r="I48" s="80"/>
      <c r="J48" s="253"/>
      <c r="K48" s="254"/>
      <c r="L48" s="254"/>
      <c r="M48" s="254"/>
      <c r="N48" s="254"/>
      <c r="O48" s="255"/>
      <c r="P48" s="253"/>
      <c r="Q48" s="254"/>
      <c r="R48" s="254"/>
      <c r="S48" s="254"/>
      <c r="T48" s="254"/>
      <c r="U48" s="255"/>
      <c r="V48" s="253"/>
      <c r="W48" s="254"/>
      <c r="X48" s="254"/>
      <c r="Y48" s="254"/>
      <c r="Z48" s="254"/>
      <c r="AA48" s="255"/>
      <c r="AB48" s="253"/>
      <c r="AC48" s="254"/>
      <c r="AD48" s="254"/>
      <c r="AE48" s="254"/>
      <c r="AF48" s="254"/>
      <c r="AG48" s="255"/>
      <c r="AH48" s="253"/>
      <c r="AI48" s="254"/>
      <c r="AJ48" s="254"/>
      <c r="AK48" s="254"/>
      <c r="AL48" s="254"/>
      <c r="AM48" s="255"/>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row>
    <row r="49" spans="1:80" x14ac:dyDescent="0.4">
      <c r="A49" s="80"/>
      <c r="B49" s="80"/>
      <c r="C49" s="80"/>
      <c r="D49" s="80"/>
      <c r="E49" s="80"/>
      <c r="F49" s="80"/>
      <c r="G49" s="80"/>
      <c r="H49" s="80"/>
      <c r="I49" s="80"/>
      <c r="J49" s="253"/>
      <c r="K49" s="254"/>
      <c r="L49" s="254"/>
      <c r="M49" s="254"/>
      <c r="N49" s="254"/>
      <c r="O49" s="255"/>
      <c r="P49" s="253"/>
      <c r="Q49" s="254"/>
      <c r="R49" s="254"/>
      <c r="S49" s="254"/>
      <c r="T49" s="254"/>
      <c r="U49" s="255"/>
      <c r="V49" s="253"/>
      <c r="W49" s="254"/>
      <c r="X49" s="254"/>
      <c r="Y49" s="254"/>
      <c r="Z49" s="254"/>
      <c r="AA49" s="255"/>
      <c r="AB49" s="253"/>
      <c r="AC49" s="254"/>
      <c r="AD49" s="254"/>
      <c r="AE49" s="254"/>
      <c r="AF49" s="254"/>
      <c r="AG49" s="255"/>
      <c r="AH49" s="253"/>
      <c r="AI49" s="254"/>
      <c r="AJ49" s="254"/>
      <c r="AK49" s="254"/>
      <c r="AL49" s="254"/>
      <c r="AM49" s="255"/>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row>
    <row r="50" spans="1:80" x14ac:dyDescent="0.4">
      <c r="A50" s="80"/>
      <c r="B50" s="80"/>
      <c r="C50" s="80"/>
      <c r="D50" s="80"/>
      <c r="E50" s="80"/>
      <c r="F50" s="80"/>
      <c r="G50" s="80"/>
      <c r="H50" s="80"/>
      <c r="I50" s="80"/>
      <c r="J50" s="253"/>
      <c r="K50" s="254"/>
      <c r="L50" s="254"/>
      <c r="M50" s="254"/>
      <c r="N50" s="254"/>
      <c r="O50" s="255"/>
      <c r="P50" s="253"/>
      <c r="Q50" s="254"/>
      <c r="R50" s="254"/>
      <c r="S50" s="254"/>
      <c r="T50" s="254"/>
      <c r="U50" s="255"/>
      <c r="V50" s="253"/>
      <c r="W50" s="254"/>
      <c r="X50" s="254"/>
      <c r="Y50" s="254"/>
      <c r="Z50" s="254"/>
      <c r="AA50" s="255"/>
      <c r="AB50" s="253"/>
      <c r="AC50" s="254"/>
      <c r="AD50" s="254"/>
      <c r="AE50" s="254"/>
      <c r="AF50" s="254"/>
      <c r="AG50" s="255"/>
      <c r="AH50" s="253"/>
      <c r="AI50" s="254"/>
      <c r="AJ50" s="254"/>
      <c r="AK50" s="254"/>
      <c r="AL50" s="254"/>
      <c r="AM50" s="255"/>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row>
    <row r="51" spans="1:80" ht="15" thickBot="1" x14ac:dyDescent="0.45">
      <c r="A51" s="80"/>
      <c r="B51" s="80"/>
      <c r="C51" s="80"/>
      <c r="D51" s="80"/>
      <c r="E51" s="80"/>
      <c r="F51" s="80"/>
      <c r="G51" s="80"/>
      <c r="H51" s="80"/>
      <c r="I51" s="80"/>
      <c r="J51" s="256"/>
      <c r="K51" s="257"/>
      <c r="L51" s="257"/>
      <c r="M51" s="257"/>
      <c r="N51" s="257"/>
      <c r="O51" s="258"/>
      <c r="P51" s="256"/>
      <c r="Q51" s="257"/>
      <c r="R51" s="257"/>
      <c r="S51" s="257"/>
      <c r="T51" s="257"/>
      <c r="U51" s="258"/>
      <c r="V51" s="256"/>
      <c r="W51" s="257"/>
      <c r="X51" s="257"/>
      <c r="Y51" s="257"/>
      <c r="Z51" s="257"/>
      <c r="AA51" s="258"/>
      <c r="AB51" s="256"/>
      <c r="AC51" s="257"/>
      <c r="AD51" s="257"/>
      <c r="AE51" s="257"/>
      <c r="AF51" s="257"/>
      <c r="AG51" s="258"/>
      <c r="AH51" s="256"/>
      <c r="AI51" s="257"/>
      <c r="AJ51" s="257"/>
      <c r="AK51" s="257"/>
      <c r="AL51" s="257"/>
      <c r="AM51" s="258"/>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row>
    <row r="52" spans="1:80" x14ac:dyDescent="0.4">
      <c r="A52" s="80"/>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row>
    <row r="53" spans="1:80" ht="15" customHeight="1" x14ac:dyDescent="0.4">
      <c r="A53" s="80"/>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row>
    <row r="54" spans="1:80" ht="15" customHeight="1" x14ac:dyDescent="0.4">
      <c r="A54" s="80"/>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row>
    <row r="55" spans="1:80" x14ac:dyDescent="0.4">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row>
    <row r="56" spans="1:80" x14ac:dyDescent="0.4">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row>
    <row r="57" spans="1:80" x14ac:dyDescent="0.4">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row>
    <row r="58" spans="1:80" x14ac:dyDescent="0.4">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row>
    <row r="59" spans="1:80" x14ac:dyDescent="0.4">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row>
    <row r="60" spans="1:80" x14ac:dyDescent="0.4">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row>
    <row r="61" spans="1:80" x14ac:dyDescent="0.4">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row>
    <row r="62" spans="1:80" x14ac:dyDescent="0.4">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row>
    <row r="63" spans="1:80" x14ac:dyDescent="0.4">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row>
    <row r="64" spans="1:80" x14ac:dyDescent="0.4">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row>
    <row r="65" spans="1:80" x14ac:dyDescent="0.4">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row>
    <row r="66" spans="1:80" x14ac:dyDescent="0.4">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row>
    <row r="67" spans="1:80" x14ac:dyDescent="0.4">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row>
    <row r="68" spans="1:80" x14ac:dyDescent="0.4">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row>
    <row r="69" spans="1:80" x14ac:dyDescent="0.4">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row>
    <row r="70" spans="1:80" x14ac:dyDescent="0.4">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row>
    <row r="71" spans="1:80" x14ac:dyDescent="0.4">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row>
    <row r="72" spans="1:80" x14ac:dyDescent="0.4">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row>
    <row r="73" spans="1:80" x14ac:dyDescent="0.4">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row>
    <row r="74" spans="1:80" x14ac:dyDescent="0.4">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row>
    <row r="75" spans="1:80" x14ac:dyDescent="0.4">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row>
    <row r="76" spans="1:80" x14ac:dyDescent="0.4">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row>
    <row r="77" spans="1:80" x14ac:dyDescent="0.4">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row>
    <row r="78" spans="1:80" x14ac:dyDescent="0.4">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row>
    <row r="79" spans="1:80" x14ac:dyDescent="0.4">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row>
    <row r="80" spans="1:80" x14ac:dyDescent="0.4">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row>
    <row r="81" spans="1:63" x14ac:dyDescent="0.4">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row>
    <row r="82" spans="1:63" x14ac:dyDescent="0.4">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row>
    <row r="83" spans="1:63" x14ac:dyDescent="0.4">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row>
    <row r="84" spans="1:63" x14ac:dyDescent="0.4">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row>
    <row r="85" spans="1:63" x14ac:dyDescent="0.4">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row>
    <row r="86" spans="1:63" x14ac:dyDescent="0.4">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row>
    <row r="87" spans="1:63" x14ac:dyDescent="0.4">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row>
    <row r="88" spans="1:63" x14ac:dyDescent="0.4">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row>
    <row r="89" spans="1:63" x14ac:dyDescent="0.4">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row>
    <row r="90" spans="1:63" x14ac:dyDescent="0.4">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row>
    <row r="91" spans="1:63" x14ac:dyDescent="0.4">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row>
    <row r="92" spans="1:63" x14ac:dyDescent="0.4">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row>
    <row r="93" spans="1:63" x14ac:dyDescent="0.4">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row>
    <row r="94" spans="1:63" x14ac:dyDescent="0.4">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row>
    <row r="95" spans="1:63" x14ac:dyDescent="0.4">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row>
    <row r="96" spans="1:63" x14ac:dyDescent="0.4">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row>
    <row r="97" spans="1:63" x14ac:dyDescent="0.4">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row>
    <row r="98" spans="1:63" x14ac:dyDescent="0.4">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row>
    <row r="99" spans="1:63" x14ac:dyDescent="0.4">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row>
    <row r="100" spans="1:63" x14ac:dyDescent="0.4">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row>
    <row r="101" spans="1:63" x14ac:dyDescent="0.4">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row>
    <row r="102" spans="1:63" x14ac:dyDescent="0.4">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row>
    <row r="103" spans="1:63" x14ac:dyDescent="0.4">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row>
    <row r="104" spans="1:63" x14ac:dyDescent="0.4">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row>
    <row r="105" spans="1:63" x14ac:dyDescent="0.4">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row>
    <row r="106" spans="1:63" x14ac:dyDescent="0.4">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row>
    <row r="107" spans="1:63" x14ac:dyDescent="0.4">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row>
    <row r="108" spans="1:63" x14ac:dyDescent="0.4">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row>
    <row r="109" spans="1:63" x14ac:dyDescent="0.4">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row>
    <row r="110" spans="1:63" x14ac:dyDescent="0.4">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row>
    <row r="111" spans="1:63" x14ac:dyDescent="0.4">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row>
    <row r="112" spans="1:63" x14ac:dyDescent="0.4">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row>
    <row r="113" spans="1:63" x14ac:dyDescent="0.4">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row>
    <row r="114" spans="1:63" x14ac:dyDescent="0.4">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row>
    <row r="115" spans="1:63" x14ac:dyDescent="0.4">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row>
    <row r="116" spans="1:63" x14ac:dyDescent="0.4">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row>
    <row r="117" spans="1:63" x14ac:dyDescent="0.4">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row>
    <row r="118" spans="1:63" x14ac:dyDescent="0.4">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row>
    <row r="119" spans="1:63" x14ac:dyDescent="0.4">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row>
    <row r="120" spans="1:63" x14ac:dyDescent="0.4">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row>
    <row r="121" spans="1:63" x14ac:dyDescent="0.4">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row>
    <row r="122" spans="1:63" x14ac:dyDescent="0.4">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row>
    <row r="123" spans="1:63" x14ac:dyDescent="0.4">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row>
    <row r="124" spans="1:63" x14ac:dyDescent="0.4">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row>
    <row r="125" spans="1:63" x14ac:dyDescent="0.4">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row>
    <row r="126" spans="1:63" x14ac:dyDescent="0.4">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row>
    <row r="127" spans="1:63" x14ac:dyDescent="0.4">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row>
    <row r="128" spans="1:63" x14ac:dyDescent="0.4">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row>
    <row r="129" spans="2:63" x14ac:dyDescent="0.4">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row>
    <row r="130" spans="2:63" x14ac:dyDescent="0.4">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row>
    <row r="131" spans="2:63" x14ac:dyDescent="0.4">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row>
    <row r="132" spans="2:63" x14ac:dyDescent="0.4">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row>
    <row r="133" spans="2:63" x14ac:dyDescent="0.4">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row>
    <row r="134" spans="2:63" x14ac:dyDescent="0.4">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row>
    <row r="135" spans="2:63" x14ac:dyDescent="0.4">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row>
    <row r="136" spans="2:63" x14ac:dyDescent="0.4">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row>
    <row r="137" spans="2:63" x14ac:dyDescent="0.4">
      <c r="B137" s="80"/>
      <c r="C137" s="80"/>
      <c r="D137" s="80"/>
      <c r="E137" s="80"/>
      <c r="F137" s="80"/>
      <c r="G137" s="80"/>
      <c r="H137" s="80"/>
      <c r="I137" s="80"/>
    </row>
    <row r="138" spans="2:63" x14ac:dyDescent="0.4">
      <c r="B138" s="80"/>
      <c r="C138" s="80"/>
      <c r="D138" s="80"/>
      <c r="E138" s="80"/>
      <c r="F138" s="80"/>
      <c r="G138" s="80"/>
      <c r="H138" s="80"/>
      <c r="I138" s="80"/>
    </row>
    <row r="139" spans="2:63" x14ac:dyDescent="0.4">
      <c r="B139" s="80"/>
      <c r="C139" s="80"/>
      <c r="D139" s="80"/>
      <c r="E139" s="80"/>
      <c r="F139" s="80"/>
      <c r="G139" s="80"/>
      <c r="H139" s="80"/>
      <c r="I139" s="80"/>
    </row>
    <row r="140" spans="2:63" x14ac:dyDescent="0.4">
      <c r="B140" s="80"/>
      <c r="C140" s="80"/>
      <c r="D140" s="80"/>
      <c r="E140" s="80"/>
      <c r="F140" s="80"/>
      <c r="G140" s="80"/>
      <c r="H140" s="80"/>
      <c r="I140" s="80"/>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zoomScale="50" zoomScaleNormal="50" workbookViewId="0">
      <selection activeCell="J6" sqref="J6"/>
    </sheetView>
  </sheetViews>
  <sheetFormatPr baseColWidth="10" defaultRowHeight="14.6" x14ac:dyDescent="0.4"/>
  <cols>
    <col min="2" max="18" width="5.69140625" customWidth="1"/>
    <col min="19" max="19" width="8.3828125" customWidth="1"/>
    <col min="20" max="23" width="5.69140625" customWidth="1"/>
    <col min="24" max="24" width="8.53515625" customWidth="1"/>
    <col min="25" max="26" width="5.69140625" customWidth="1"/>
    <col min="27" max="27" width="10.69140625" customWidth="1"/>
    <col min="28" max="28" width="5.69140625" customWidth="1"/>
    <col min="29" max="29" width="7.3828125" customWidth="1"/>
    <col min="30" max="33" width="5.69140625" customWidth="1"/>
    <col min="34" max="34" width="8.53515625" customWidth="1"/>
    <col min="35" max="39" width="5.69140625" customWidth="1"/>
    <col min="41" max="46" width="5.69140625" customWidth="1"/>
  </cols>
  <sheetData>
    <row r="1" spans="1:91" x14ac:dyDescent="0.4">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row>
    <row r="2" spans="1:91" ht="18" customHeight="1" x14ac:dyDescent="0.4">
      <c r="A2" s="80"/>
      <c r="B2" s="329" t="s">
        <v>159</v>
      </c>
      <c r="C2" s="330"/>
      <c r="D2" s="330"/>
      <c r="E2" s="330"/>
      <c r="F2" s="330"/>
      <c r="G2" s="330"/>
      <c r="H2" s="330"/>
      <c r="I2" s="330"/>
      <c r="J2" s="249" t="s">
        <v>2</v>
      </c>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row>
    <row r="3" spans="1:91" ht="18.75" customHeight="1" x14ac:dyDescent="0.4">
      <c r="A3" s="80"/>
      <c r="B3" s="330"/>
      <c r="C3" s="330"/>
      <c r="D3" s="330"/>
      <c r="E3" s="330"/>
      <c r="F3" s="330"/>
      <c r="G3" s="330"/>
      <c r="H3" s="330"/>
      <c r="I3" s="330"/>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row>
    <row r="4" spans="1:91" ht="15" customHeight="1" x14ac:dyDescent="0.4">
      <c r="A4" s="80"/>
      <c r="B4" s="330"/>
      <c r="C4" s="330"/>
      <c r="D4" s="330"/>
      <c r="E4" s="330"/>
      <c r="F4" s="330"/>
      <c r="G4" s="330"/>
      <c r="H4" s="330"/>
      <c r="I4" s="330"/>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row>
    <row r="5" spans="1:91" ht="15" thickBot="1" x14ac:dyDescent="0.45">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row>
    <row r="6" spans="1:91" ht="15" customHeight="1" x14ac:dyDescent="0.45">
      <c r="A6" s="80"/>
      <c r="B6" s="261" t="s">
        <v>4</v>
      </c>
      <c r="C6" s="261"/>
      <c r="D6" s="262"/>
      <c r="E6" s="299" t="s">
        <v>115</v>
      </c>
      <c r="F6" s="300"/>
      <c r="G6" s="300"/>
      <c r="H6" s="300"/>
      <c r="I6" s="301"/>
      <c r="J6" s="42" t="str">
        <f ca="1">IF(AND('Mapa final'!$Y$10="Muy Alta",'Mapa final'!$AA$10="Leve"),CONCATENATE("R1C",'Mapa final'!$O$10),"")</f>
        <v/>
      </c>
      <c r="K6" s="43" t="e">
        <f>IF(AND('Mapa final'!#REF!="Muy Alta",'Mapa final'!#REF!="Leve"),CONCATENATE("R1C",'Mapa final'!#REF!),"")</f>
        <v>#REF!</v>
      </c>
      <c r="L6" s="43" t="e">
        <f>IF(AND('Mapa final'!#REF!="Muy Alta",'Mapa final'!#REF!="Leve"),CONCATENATE("R1C",'Mapa final'!#REF!),"")</f>
        <v>#REF!</v>
      </c>
      <c r="M6" s="43" t="e">
        <f>IF(AND('Mapa final'!#REF!="Muy Alta",'Mapa final'!#REF!="Leve"),CONCATENATE("R1C",'Mapa final'!#REF!),"")</f>
        <v>#REF!</v>
      </c>
      <c r="N6" s="43" t="e">
        <f>IF(AND('Mapa final'!#REF!="Muy Alta",'Mapa final'!#REF!="Leve"),CONCATENATE("R1C",'Mapa final'!#REF!),"")</f>
        <v>#REF!</v>
      </c>
      <c r="O6" s="44" t="e">
        <f>IF(AND('Mapa final'!#REF!="Muy Alta",'Mapa final'!#REF!="Leve"),CONCATENATE("R1C",'Mapa final'!#REF!),"")</f>
        <v>#REF!</v>
      </c>
      <c r="P6" s="42" t="str">
        <f ca="1">IF(AND('Mapa final'!$Y$10="Muy Alta",'Mapa final'!$AA$10="Menor"),CONCATENATE("R1C",'Mapa final'!$O$10),"")</f>
        <v/>
      </c>
      <c r="Q6" s="43" t="e">
        <f>IF(AND('Mapa final'!#REF!="Muy Alta",'Mapa final'!#REF!="Menor"),CONCATENATE("R1C",'Mapa final'!#REF!),"")</f>
        <v>#REF!</v>
      </c>
      <c r="R6" s="43" t="e">
        <f>IF(AND('Mapa final'!#REF!="Muy Alta",'Mapa final'!#REF!="Menor"),CONCATENATE("R1C",'Mapa final'!#REF!),"")</f>
        <v>#REF!</v>
      </c>
      <c r="S6" s="43" t="e">
        <f>IF(AND('Mapa final'!#REF!="Muy Alta",'Mapa final'!#REF!="Menor"),CONCATENATE("R1C",'Mapa final'!#REF!),"")</f>
        <v>#REF!</v>
      </c>
      <c r="T6" s="43" t="e">
        <f>IF(AND('Mapa final'!#REF!="Muy Alta",'Mapa final'!#REF!="Menor"),CONCATENATE("R1C",'Mapa final'!#REF!),"")</f>
        <v>#REF!</v>
      </c>
      <c r="U6" s="44" t="e">
        <f>IF(AND('Mapa final'!#REF!="Muy Alta",'Mapa final'!#REF!="Menor"),CONCATENATE("R1C",'Mapa final'!#REF!),"")</f>
        <v>#REF!</v>
      </c>
      <c r="V6" s="42" t="str">
        <f ca="1">IF(AND('Mapa final'!$Y$10="Muy Alta",'Mapa final'!$AA$10="Moderado"),CONCATENATE("R1C",'Mapa final'!$O$10),"")</f>
        <v/>
      </c>
      <c r="W6" s="43" t="e">
        <f>IF(AND('Mapa final'!#REF!="Muy Alta",'Mapa final'!#REF!="Moderado"),CONCATENATE("R1C",'Mapa final'!#REF!),"")</f>
        <v>#REF!</v>
      </c>
      <c r="X6" s="43" t="e">
        <f>IF(AND('Mapa final'!#REF!="Muy Alta",'Mapa final'!#REF!="Moderado"),CONCATENATE("R1C",'Mapa final'!#REF!),"")</f>
        <v>#REF!</v>
      </c>
      <c r="Y6" s="43" t="e">
        <f>IF(AND('Mapa final'!#REF!="Muy Alta",'Mapa final'!#REF!="Moderado"),CONCATENATE("R1C",'Mapa final'!#REF!),"")</f>
        <v>#REF!</v>
      </c>
      <c r="Z6" s="43" t="e">
        <f>IF(AND('Mapa final'!#REF!="Muy Alta",'Mapa final'!#REF!="Moderado"),CONCATENATE("R1C",'Mapa final'!#REF!),"")</f>
        <v>#REF!</v>
      </c>
      <c r="AA6" s="44" t="e">
        <f>IF(AND('Mapa final'!#REF!="Muy Alta",'Mapa final'!#REF!="Moderado"),CONCATENATE("R1C",'Mapa final'!#REF!),"")</f>
        <v>#REF!</v>
      </c>
      <c r="AB6" s="42" t="str">
        <f ca="1">IF(AND('Mapa final'!$Y$10="Muy Alta",'Mapa final'!$AA$10="Mayor"),CONCATENATE("R1C",'Mapa final'!$O$10),"")</f>
        <v/>
      </c>
      <c r="AC6" s="43" t="e">
        <f>IF(AND('Mapa final'!#REF!="Muy Alta",'Mapa final'!#REF!="Mayor"),CONCATENATE("R1C",'Mapa final'!#REF!),"")</f>
        <v>#REF!</v>
      </c>
      <c r="AD6" s="43" t="e">
        <f>IF(AND('Mapa final'!#REF!="Muy Alta",'Mapa final'!#REF!="Mayor"),CONCATENATE("R1C",'Mapa final'!#REF!),"")</f>
        <v>#REF!</v>
      </c>
      <c r="AE6" s="43" t="e">
        <f>IF(AND('Mapa final'!#REF!="Muy Alta",'Mapa final'!#REF!="Mayor"),CONCATENATE("R1C",'Mapa final'!#REF!),"")</f>
        <v>#REF!</v>
      </c>
      <c r="AF6" s="43" t="e">
        <f>IF(AND('Mapa final'!#REF!="Muy Alta",'Mapa final'!#REF!="Mayor"),CONCATENATE("R1C",'Mapa final'!#REF!),"")</f>
        <v>#REF!</v>
      </c>
      <c r="AG6" s="44" t="e">
        <f>IF(AND('Mapa final'!#REF!="Muy Alta",'Mapa final'!#REF!="Mayor"),CONCATENATE("R1C",'Mapa final'!#REF!),"")</f>
        <v>#REF!</v>
      </c>
      <c r="AH6" s="45" t="str">
        <f ca="1">IF(AND('Mapa final'!$Y$10="Muy Alta",'Mapa final'!$AA$10="Catastrófico"),CONCATENATE("R1C",'Mapa final'!$O$10),"")</f>
        <v/>
      </c>
      <c r="AI6" s="46" t="e">
        <f>IF(AND('Mapa final'!#REF!="Muy Alta",'Mapa final'!#REF!="Catastrófico"),CONCATENATE("R1C",'Mapa final'!#REF!),"")</f>
        <v>#REF!</v>
      </c>
      <c r="AJ6" s="46" t="e">
        <f>IF(AND('Mapa final'!#REF!="Muy Alta",'Mapa final'!#REF!="Catastrófico"),CONCATENATE("R1C",'Mapa final'!#REF!),"")</f>
        <v>#REF!</v>
      </c>
      <c r="AK6" s="46" t="e">
        <f>IF(AND('Mapa final'!#REF!="Muy Alta",'Mapa final'!#REF!="Catastrófico"),CONCATENATE("R1C",'Mapa final'!#REF!),"")</f>
        <v>#REF!</v>
      </c>
      <c r="AL6" s="46" t="e">
        <f>IF(AND('Mapa final'!#REF!="Muy Alta",'Mapa final'!#REF!="Catastrófico"),CONCATENATE("R1C",'Mapa final'!#REF!),"")</f>
        <v>#REF!</v>
      </c>
      <c r="AM6" s="47" t="e">
        <f>IF(AND('Mapa final'!#REF!="Muy Alta",'Mapa final'!#REF!="Catastrófico"),CONCATENATE("R1C",'Mapa final'!#REF!),"")</f>
        <v>#REF!</v>
      </c>
      <c r="AN6" s="80"/>
      <c r="AO6" s="320" t="s">
        <v>78</v>
      </c>
      <c r="AP6" s="321"/>
      <c r="AQ6" s="321"/>
      <c r="AR6" s="321"/>
      <c r="AS6" s="321"/>
      <c r="AT6" s="322"/>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row>
    <row r="7" spans="1:91" ht="15" customHeight="1" x14ac:dyDescent="0.45">
      <c r="A7" s="80"/>
      <c r="B7" s="261"/>
      <c r="C7" s="261"/>
      <c r="D7" s="262"/>
      <c r="E7" s="302"/>
      <c r="F7" s="303"/>
      <c r="G7" s="303"/>
      <c r="H7" s="303"/>
      <c r="I7" s="304"/>
      <c r="J7" s="48" t="str">
        <f ca="1">IF(AND('Mapa final'!$Y$11="Muy Alta",'Mapa final'!$AA$11="Leve"),CONCATENATE("R2C",'Mapa final'!$O$11),"")</f>
        <v/>
      </c>
      <c r="K7" s="49" t="str">
        <f ca="1">IF(AND('Mapa final'!$Y$12="Muy Alta",'Mapa final'!$AA$12="Leve"),CONCATENATE("R2C",'Mapa final'!$O$12),"")</f>
        <v/>
      </c>
      <c r="L7" s="49" t="str">
        <f ca="1">IF(AND('Mapa final'!$Y$13="Muy Alta",'Mapa final'!$AA$13="Leve"),CONCATENATE("R2C",'Mapa final'!$O$13),"")</f>
        <v/>
      </c>
      <c r="M7" s="49" t="str">
        <f ca="1">IF(AND('Mapa final'!$Y$14="Muy Alta",'Mapa final'!$AA$14="Leve"),CONCATENATE("R2C",'Mapa final'!$O$14),"")</f>
        <v/>
      </c>
      <c r="N7" s="49" t="e">
        <f>IF(AND('Mapa final'!#REF!="Muy Alta",'Mapa final'!#REF!="Leve"),CONCATENATE("R2C",'Mapa final'!#REF!),"")</f>
        <v>#REF!</v>
      </c>
      <c r="O7" s="50" t="e">
        <f>IF(AND('Mapa final'!#REF!="Muy Alta",'Mapa final'!#REF!="Leve"),CONCATENATE("R2C",'Mapa final'!#REF!),"")</f>
        <v>#REF!</v>
      </c>
      <c r="P7" s="48" t="str">
        <f ca="1">IF(AND('Mapa final'!$Y$11="Muy Alta",'Mapa final'!$AA$11="Menor"),CONCATENATE("R2C",'Mapa final'!$O$11),"")</f>
        <v/>
      </c>
      <c r="Q7" s="49" t="str">
        <f ca="1">IF(AND('Mapa final'!$Y$12="Muy Alta",'Mapa final'!$AA$12="Menor"),CONCATENATE("R2C",'Mapa final'!$O$12),"")</f>
        <v/>
      </c>
      <c r="R7" s="49" t="str">
        <f ca="1">IF(AND('Mapa final'!$Y$13="Muy Alta",'Mapa final'!$AA$13="Menor"),CONCATENATE("R2C",'Mapa final'!$O$13),"")</f>
        <v/>
      </c>
      <c r="S7" s="49" t="str">
        <f ca="1">IF(AND('Mapa final'!$Y$14="Muy Alta",'Mapa final'!$AA$14="Menor"),CONCATENATE("R2C",'Mapa final'!$O$14),"")</f>
        <v/>
      </c>
      <c r="T7" s="49" t="e">
        <f>IF(AND('Mapa final'!#REF!="Muy Alta",'Mapa final'!#REF!="Menor"),CONCATENATE("R2C",'Mapa final'!#REF!),"")</f>
        <v>#REF!</v>
      </c>
      <c r="U7" s="50" t="e">
        <f>IF(AND('Mapa final'!#REF!="Muy Alta",'Mapa final'!#REF!="Menor"),CONCATENATE("R2C",'Mapa final'!#REF!),"")</f>
        <v>#REF!</v>
      </c>
      <c r="V7" s="48" t="str">
        <f ca="1">IF(AND('Mapa final'!$Y$11="Muy Alta",'Mapa final'!$AA$11="Moderado"),CONCATENATE("R2C",'Mapa final'!$O$11),"")</f>
        <v/>
      </c>
      <c r="W7" s="49" t="str">
        <f ca="1">IF(AND('Mapa final'!$Y$12="Muy Alta",'Mapa final'!$AA$12="Moderado"),CONCATENATE("R2C",'Mapa final'!$O$12),"")</f>
        <v/>
      </c>
      <c r="X7" s="49" t="str">
        <f ca="1">IF(AND('Mapa final'!$Y$13="Muy Alta",'Mapa final'!$AA$13="Moderado"),CONCATENATE("R2C",'Mapa final'!$O$13),"")</f>
        <v/>
      </c>
      <c r="Y7" s="49" t="str">
        <f ca="1">IF(AND('Mapa final'!$Y$14="Muy Alta",'Mapa final'!$AA$14="Moderado"),CONCATENATE("R2C",'Mapa final'!$O$14),"")</f>
        <v/>
      </c>
      <c r="Z7" s="49" t="e">
        <f>IF(AND('Mapa final'!#REF!="Muy Alta",'Mapa final'!#REF!="Moderado"),CONCATENATE("R2C",'Mapa final'!#REF!),"")</f>
        <v>#REF!</v>
      </c>
      <c r="AA7" s="50" t="e">
        <f>IF(AND('Mapa final'!#REF!="Muy Alta",'Mapa final'!#REF!="Moderado"),CONCATENATE("R2C",'Mapa final'!#REF!),"")</f>
        <v>#REF!</v>
      </c>
      <c r="AB7" s="48" t="str">
        <f ca="1">IF(AND('Mapa final'!$Y$11="Muy Alta",'Mapa final'!$AA$11="Mayor"),CONCATENATE("R2C",'Mapa final'!$O$11),"")</f>
        <v/>
      </c>
      <c r="AC7" s="49" t="str">
        <f ca="1">IF(AND('Mapa final'!$Y$12="Muy Alta",'Mapa final'!$AA$12="Mayor"),CONCATENATE("R2C",'Mapa final'!$O$12),"")</f>
        <v/>
      </c>
      <c r="AD7" s="49" t="str">
        <f ca="1">IF(AND('Mapa final'!$Y$13="Muy Alta",'Mapa final'!$AA$13="Mayor"),CONCATENATE("R2C",'Mapa final'!$O$13),"")</f>
        <v/>
      </c>
      <c r="AE7" s="49" t="str">
        <f ca="1">IF(AND('Mapa final'!$Y$14="Muy Alta",'Mapa final'!$AA$14="Mayor"),CONCATENATE("R2C",'Mapa final'!$O$14),"")</f>
        <v/>
      </c>
      <c r="AF7" s="49" t="e">
        <f>IF(AND('Mapa final'!#REF!="Muy Alta",'Mapa final'!#REF!="Mayor"),CONCATENATE("R2C",'Mapa final'!#REF!),"")</f>
        <v>#REF!</v>
      </c>
      <c r="AG7" s="50" t="e">
        <f>IF(AND('Mapa final'!#REF!="Muy Alta",'Mapa final'!#REF!="Mayor"),CONCATENATE("R2C",'Mapa final'!#REF!),"")</f>
        <v>#REF!</v>
      </c>
      <c r="AH7" s="51" t="str">
        <f ca="1">IF(AND('Mapa final'!$Y$11="Muy Alta",'Mapa final'!$AA$11="Catastrófico"),CONCATENATE("R2C",'Mapa final'!$O$11),"")</f>
        <v/>
      </c>
      <c r="AI7" s="52" t="str">
        <f ca="1">IF(AND('Mapa final'!$Y$12="Muy Alta",'Mapa final'!$AA$12="Catastrófico"),CONCATENATE("R2C",'Mapa final'!$O$12),"")</f>
        <v/>
      </c>
      <c r="AJ7" s="52" t="str">
        <f ca="1">IF(AND('Mapa final'!$Y$13="Muy Alta",'Mapa final'!$AA$13="Catastrófico"),CONCATENATE("R2C",'Mapa final'!$O$13),"")</f>
        <v/>
      </c>
      <c r="AK7" s="52" t="str">
        <f ca="1">IF(AND('Mapa final'!$Y$14="Muy Alta",'Mapa final'!$AA$14="Catastrófico"),CONCATENATE("R2C",'Mapa final'!$O$14),"")</f>
        <v/>
      </c>
      <c r="AL7" s="52" t="e">
        <f>IF(AND('Mapa final'!#REF!="Muy Alta",'Mapa final'!#REF!="Catastrófico"),CONCATENATE("R2C",'Mapa final'!#REF!),"")</f>
        <v>#REF!</v>
      </c>
      <c r="AM7" s="53" t="e">
        <f>IF(AND('Mapa final'!#REF!="Muy Alta",'Mapa final'!#REF!="Catastrófico"),CONCATENATE("R2C",'Mapa final'!#REF!),"")</f>
        <v>#REF!</v>
      </c>
      <c r="AN7" s="80"/>
      <c r="AO7" s="323"/>
      <c r="AP7" s="324"/>
      <c r="AQ7" s="324"/>
      <c r="AR7" s="324"/>
      <c r="AS7" s="324"/>
      <c r="AT7" s="325"/>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row>
    <row r="8" spans="1:91" ht="15" customHeight="1" x14ac:dyDescent="0.45">
      <c r="A8" s="80"/>
      <c r="B8" s="261"/>
      <c r="C8" s="261"/>
      <c r="D8" s="262"/>
      <c r="E8" s="302"/>
      <c r="F8" s="303"/>
      <c r="G8" s="303"/>
      <c r="H8" s="303"/>
      <c r="I8" s="304"/>
      <c r="J8" s="48" t="str">
        <f ca="1">IF(AND('Mapa final'!$Y$15="Muy Alta",'Mapa final'!$AA$15="Leve"),CONCATENATE("R3C",'Mapa final'!$O$15),"")</f>
        <v/>
      </c>
      <c r="K8" s="49" t="str">
        <f ca="1">IF(AND('Mapa final'!$Y$16="Muy Alta",'Mapa final'!$AA$16="Leve"),CONCATENATE("R3C",'Mapa final'!$O$16),"")</f>
        <v/>
      </c>
      <c r="L8" s="49" t="e">
        <f>IF(AND('Mapa final'!#REF!="Muy Alta",'Mapa final'!#REF!="Leve"),CONCATENATE("R3C",'Mapa final'!#REF!),"")</f>
        <v>#REF!</v>
      </c>
      <c r="M8" s="49" t="e">
        <f>IF(AND('Mapa final'!#REF!="Muy Alta",'Mapa final'!#REF!="Leve"),CONCATENATE("R3C",'Mapa final'!#REF!),"")</f>
        <v>#REF!</v>
      </c>
      <c r="N8" s="49" t="e">
        <f>IF(AND('Mapa final'!#REF!="Muy Alta",'Mapa final'!#REF!="Leve"),CONCATENATE("R3C",'Mapa final'!#REF!),"")</f>
        <v>#REF!</v>
      </c>
      <c r="O8" s="50" t="e">
        <f>IF(AND('Mapa final'!#REF!="Muy Alta",'Mapa final'!#REF!="Leve"),CONCATENATE("R3C",'Mapa final'!#REF!),"")</f>
        <v>#REF!</v>
      </c>
      <c r="P8" s="48" t="str">
        <f ca="1">IF(AND('Mapa final'!$Y$15="Muy Alta",'Mapa final'!$AA$15="Menor"),CONCATENATE("R3C",'Mapa final'!$O$15),"")</f>
        <v/>
      </c>
      <c r="Q8" s="49" t="str">
        <f ca="1">IF(AND('Mapa final'!$Y$16="Muy Alta",'Mapa final'!$AA$16="Menor"),CONCATENATE("R3C",'Mapa final'!$O$16),"")</f>
        <v/>
      </c>
      <c r="R8" s="49" t="e">
        <f>IF(AND('Mapa final'!#REF!="Muy Alta",'Mapa final'!#REF!="Menor"),CONCATENATE("R3C",'Mapa final'!#REF!),"")</f>
        <v>#REF!</v>
      </c>
      <c r="S8" s="49" t="e">
        <f>IF(AND('Mapa final'!#REF!="Muy Alta",'Mapa final'!#REF!="Menor"),CONCATENATE("R3C",'Mapa final'!#REF!),"")</f>
        <v>#REF!</v>
      </c>
      <c r="T8" s="49" t="e">
        <f>IF(AND('Mapa final'!#REF!="Muy Alta",'Mapa final'!#REF!="Menor"),CONCATENATE("R3C",'Mapa final'!#REF!),"")</f>
        <v>#REF!</v>
      </c>
      <c r="U8" s="50" t="e">
        <f>IF(AND('Mapa final'!#REF!="Muy Alta",'Mapa final'!#REF!="Menor"),CONCATENATE("R3C",'Mapa final'!#REF!),"")</f>
        <v>#REF!</v>
      </c>
      <c r="V8" s="48" t="str">
        <f ca="1">IF(AND('Mapa final'!$Y$15="Muy Alta",'Mapa final'!$AA$15="Moderado"),CONCATENATE("R3C",'Mapa final'!$O$15),"")</f>
        <v/>
      </c>
      <c r="W8" s="49" t="str">
        <f ca="1">IF(AND('Mapa final'!$Y$16="Muy Alta",'Mapa final'!$AA$16="Moderado"),CONCATENATE("R3C",'Mapa final'!$O$16),"")</f>
        <v/>
      </c>
      <c r="X8" s="49" t="e">
        <f>IF(AND('Mapa final'!#REF!="Muy Alta",'Mapa final'!#REF!="Moderado"),CONCATENATE("R3C",'Mapa final'!#REF!),"")</f>
        <v>#REF!</v>
      </c>
      <c r="Y8" s="49" t="e">
        <f>IF(AND('Mapa final'!#REF!="Muy Alta",'Mapa final'!#REF!="Moderado"),CONCATENATE("R3C",'Mapa final'!#REF!),"")</f>
        <v>#REF!</v>
      </c>
      <c r="Z8" s="49" t="e">
        <f>IF(AND('Mapa final'!#REF!="Muy Alta",'Mapa final'!#REF!="Moderado"),CONCATENATE("R3C",'Mapa final'!#REF!),"")</f>
        <v>#REF!</v>
      </c>
      <c r="AA8" s="50" t="e">
        <f>IF(AND('Mapa final'!#REF!="Muy Alta",'Mapa final'!#REF!="Moderado"),CONCATENATE("R3C",'Mapa final'!#REF!),"")</f>
        <v>#REF!</v>
      </c>
      <c r="AB8" s="48" t="str">
        <f ca="1">IF(AND('Mapa final'!$Y$15="Muy Alta",'Mapa final'!$AA$15="Mayor"),CONCATENATE("R3C",'Mapa final'!$O$15),"")</f>
        <v/>
      </c>
      <c r="AC8" s="49" t="str">
        <f ca="1">IF(AND('Mapa final'!$Y$16="Muy Alta",'Mapa final'!$AA$16="Mayor"),CONCATENATE("R3C",'Mapa final'!$O$16),"")</f>
        <v/>
      </c>
      <c r="AD8" s="49" t="e">
        <f>IF(AND('Mapa final'!#REF!="Muy Alta",'Mapa final'!#REF!="Mayor"),CONCATENATE("R3C",'Mapa final'!#REF!),"")</f>
        <v>#REF!</v>
      </c>
      <c r="AE8" s="49" t="e">
        <f>IF(AND('Mapa final'!#REF!="Muy Alta",'Mapa final'!#REF!="Mayor"),CONCATENATE("R3C",'Mapa final'!#REF!),"")</f>
        <v>#REF!</v>
      </c>
      <c r="AF8" s="49" t="e">
        <f>IF(AND('Mapa final'!#REF!="Muy Alta",'Mapa final'!#REF!="Mayor"),CONCATENATE("R3C",'Mapa final'!#REF!),"")</f>
        <v>#REF!</v>
      </c>
      <c r="AG8" s="50" t="e">
        <f>IF(AND('Mapa final'!#REF!="Muy Alta",'Mapa final'!#REF!="Mayor"),CONCATENATE("R3C",'Mapa final'!#REF!),"")</f>
        <v>#REF!</v>
      </c>
      <c r="AH8" s="51" t="str">
        <f ca="1">IF(AND('Mapa final'!$Y$15="Muy Alta",'Mapa final'!$AA$15="Catastrófico"),CONCATENATE("R3C",'Mapa final'!$O$15),"")</f>
        <v/>
      </c>
      <c r="AI8" s="52" t="str">
        <f ca="1">IF(AND('Mapa final'!$Y$16="Muy Alta",'Mapa final'!$AA$16="Catastrófico"),CONCATENATE("R3C",'Mapa final'!$O$16),"")</f>
        <v/>
      </c>
      <c r="AJ8" s="52" t="e">
        <f>IF(AND('Mapa final'!#REF!="Muy Alta",'Mapa final'!#REF!="Catastrófico"),CONCATENATE("R3C",'Mapa final'!#REF!),"")</f>
        <v>#REF!</v>
      </c>
      <c r="AK8" s="52" t="e">
        <f>IF(AND('Mapa final'!#REF!="Muy Alta",'Mapa final'!#REF!="Catastrófico"),CONCATENATE("R3C",'Mapa final'!#REF!),"")</f>
        <v>#REF!</v>
      </c>
      <c r="AL8" s="52" t="e">
        <f>IF(AND('Mapa final'!#REF!="Muy Alta",'Mapa final'!#REF!="Catastrófico"),CONCATENATE("R3C",'Mapa final'!#REF!),"")</f>
        <v>#REF!</v>
      </c>
      <c r="AM8" s="53" t="e">
        <f>IF(AND('Mapa final'!#REF!="Muy Alta",'Mapa final'!#REF!="Catastrófico"),CONCATENATE("R3C",'Mapa final'!#REF!),"")</f>
        <v>#REF!</v>
      </c>
      <c r="AN8" s="80"/>
      <c r="AO8" s="323"/>
      <c r="AP8" s="324"/>
      <c r="AQ8" s="324"/>
      <c r="AR8" s="324"/>
      <c r="AS8" s="324"/>
      <c r="AT8" s="325"/>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row>
    <row r="9" spans="1:91" ht="15" customHeight="1" x14ac:dyDescent="0.45">
      <c r="A9" s="80"/>
      <c r="B9" s="261"/>
      <c r="C9" s="261"/>
      <c r="D9" s="262"/>
      <c r="E9" s="302"/>
      <c r="F9" s="303"/>
      <c r="G9" s="303"/>
      <c r="H9" s="303"/>
      <c r="I9" s="304"/>
      <c r="J9" s="48" t="str">
        <f ca="1">IF(AND('Mapa final'!$Y$17="Muy Alta",'Mapa final'!$AA$17="Leve"),CONCATENATE("R4C",'Mapa final'!$O$17),"")</f>
        <v/>
      </c>
      <c r="K9" s="49" t="e">
        <f>IF(AND('Mapa final'!#REF!="Muy Alta",'Mapa final'!#REF!="Leve"),CONCATENATE("R4C",'Mapa final'!#REF!),"")</f>
        <v>#REF!</v>
      </c>
      <c r="L9" s="54" t="e">
        <f>IF(AND('Mapa final'!#REF!="Muy Alta",'Mapa final'!#REF!="Leve"),CONCATENATE("R4C",'Mapa final'!#REF!),"")</f>
        <v>#REF!</v>
      </c>
      <c r="M9" s="54" t="e">
        <f>IF(AND('Mapa final'!#REF!="Muy Alta",'Mapa final'!#REF!="Leve"),CONCATENATE("R4C",'Mapa final'!#REF!),"")</f>
        <v>#REF!</v>
      </c>
      <c r="N9" s="54" t="e">
        <f>IF(AND('Mapa final'!#REF!="Muy Alta",'Mapa final'!#REF!="Leve"),CONCATENATE("R4C",'Mapa final'!#REF!),"")</f>
        <v>#REF!</v>
      </c>
      <c r="O9" s="50" t="e">
        <f>IF(AND('Mapa final'!#REF!="Muy Alta",'Mapa final'!#REF!="Leve"),CONCATENATE("R4C",'Mapa final'!#REF!),"")</f>
        <v>#REF!</v>
      </c>
      <c r="P9" s="48" t="str">
        <f ca="1">IF(AND('Mapa final'!$Y$17="Muy Alta",'Mapa final'!$AA$17="Menor"),CONCATENATE("R4C",'Mapa final'!$O$17),"")</f>
        <v/>
      </c>
      <c r="Q9" s="49" t="e">
        <f>IF(AND('Mapa final'!#REF!="Muy Alta",'Mapa final'!#REF!="Menor"),CONCATENATE("R4C",'Mapa final'!#REF!),"")</f>
        <v>#REF!</v>
      </c>
      <c r="R9" s="54" t="e">
        <f>IF(AND('Mapa final'!#REF!="Muy Alta",'Mapa final'!#REF!="Menor"),CONCATENATE("R4C",'Mapa final'!#REF!),"")</f>
        <v>#REF!</v>
      </c>
      <c r="S9" s="54" t="e">
        <f>IF(AND('Mapa final'!#REF!="Muy Alta",'Mapa final'!#REF!="Menor"),CONCATENATE("R4C",'Mapa final'!#REF!),"")</f>
        <v>#REF!</v>
      </c>
      <c r="T9" s="54" t="e">
        <f>IF(AND('Mapa final'!#REF!="Muy Alta",'Mapa final'!#REF!="Menor"),CONCATENATE("R4C",'Mapa final'!#REF!),"")</f>
        <v>#REF!</v>
      </c>
      <c r="U9" s="50" t="e">
        <f>IF(AND('Mapa final'!#REF!="Muy Alta",'Mapa final'!#REF!="Menor"),CONCATENATE("R4C",'Mapa final'!#REF!),"")</f>
        <v>#REF!</v>
      </c>
      <c r="V9" s="48" t="str">
        <f ca="1">IF(AND('Mapa final'!$Y$17="Muy Alta",'Mapa final'!$AA$17="Moderado"),CONCATENATE("R4C",'Mapa final'!$O$17),"")</f>
        <v/>
      </c>
      <c r="W9" s="49" t="e">
        <f>IF(AND('Mapa final'!#REF!="Muy Alta",'Mapa final'!#REF!="Moderado"),CONCATENATE("R4C",'Mapa final'!#REF!),"")</f>
        <v>#REF!</v>
      </c>
      <c r="X9" s="54" t="e">
        <f>IF(AND('Mapa final'!#REF!="Muy Alta",'Mapa final'!#REF!="Moderado"),CONCATENATE("R4C",'Mapa final'!#REF!),"")</f>
        <v>#REF!</v>
      </c>
      <c r="Y9" s="54" t="e">
        <f>IF(AND('Mapa final'!#REF!="Muy Alta",'Mapa final'!#REF!="Moderado"),CONCATENATE("R4C",'Mapa final'!#REF!),"")</f>
        <v>#REF!</v>
      </c>
      <c r="Z9" s="54" t="e">
        <f>IF(AND('Mapa final'!#REF!="Muy Alta",'Mapa final'!#REF!="Moderado"),CONCATENATE("R4C",'Mapa final'!#REF!),"")</f>
        <v>#REF!</v>
      </c>
      <c r="AA9" s="50" t="e">
        <f>IF(AND('Mapa final'!#REF!="Muy Alta",'Mapa final'!#REF!="Moderado"),CONCATENATE("R4C",'Mapa final'!#REF!),"")</f>
        <v>#REF!</v>
      </c>
      <c r="AB9" s="48" t="str">
        <f ca="1">IF(AND('Mapa final'!$Y$17="Muy Alta",'Mapa final'!$AA$17="Mayor"),CONCATENATE("R4C",'Mapa final'!$O$17),"")</f>
        <v/>
      </c>
      <c r="AC9" s="49" t="e">
        <f>IF(AND('Mapa final'!#REF!="Muy Alta",'Mapa final'!#REF!="Mayor"),CONCATENATE("R4C",'Mapa final'!#REF!),"")</f>
        <v>#REF!</v>
      </c>
      <c r="AD9" s="54" t="e">
        <f>IF(AND('Mapa final'!#REF!="Muy Alta",'Mapa final'!#REF!="Mayor"),CONCATENATE("R4C",'Mapa final'!#REF!),"")</f>
        <v>#REF!</v>
      </c>
      <c r="AE9" s="54" t="e">
        <f>IF(AND('Mapa final'!#REF!="Muy Alta",'Mapa final'!#REF!="Mayor"),CONCATENATE("R4C",'Mapa final'!#REF!),"")</f>
        <v>#REF!</v>
      </c>
      <c r="AF9" s="54" t="e">
        <f>IF(AND('Mapa final'!#REF!="Muy Alta",'Mapa final'!#REF!="Mayor"),CONCATENATE("R4C",'Mapa final'!#REF!),"")</f>
        <v>#REF!</v>
      </c>
      <c r="AG9" s="50" t="e">
        <f>IF(AND('Mapa final'!#REF!="Muy Alta",'Mapa final'!#REF!="Mayor"),CONCATENATE("R4C",'Mapa final'!#REF!),"")</f>
        <v>#REF!</v>
      </c>
      <c r="AH9" s="51" t="str">
        <f ca="1">IF(AND('Mapa final'!$Y$17="Muy Alta",'Mapa final'!$AA$17="Catastrófico"),CONCATENATE("R4C",'Mapa final'!$O$17),"")</f>
        <v/>
      </c>
      <c r="AI9" s="52" t="e">
        <f>IF(AND('Mapa final'!#REF!="Muy Alta",'Mapa final'!#REF!="Catastrófico"),CONCATENATE("R4C",'Mapa final'!#REF!),"")</f>
        <v>#REF!</v>
      </c>
      <c r="AJ9" s="52" t="e">
        <f>IF(AND('Mapa final'!#REF!="Muy Alta",'Mapa final'!#REF!="Catastrófico"),CONCATENATE("R4C",'Mapa final'!#REF!),"")</f>
        <v>#REF!</v>
      </c>
      <c r="AK9" s="52" t="e">
        <f>IF(AND('Mapa final'!#REF!="Muy Alta",'Mapa final'!#REF!="Catastrófico"),CONCATENATE("R4C",'Mapa final'!#REF!),"")</f>
        <v>#REF!</v>
      </c>
      <c r="AL9" s="52" t="e">
        <f>IF(AND('Mapa final'!#REF!="Muy Alta",'Mapa final'!#REF!="Catastrófico"),CONCATENATE("R4C",'Mapa final'!#REF!),"")</f>
        <v>#REF!</v>
      </c>
      <c r="AM9" s="53" t="e">
        <f>IF(AND('Mapa final'!#REF!="Muy Alta",'Mapa final'!#REF!="Catastrófico"),CONCATENATE("R4C",'Mapa final'!#REF!),"")</f>
        <v>#REF!</v>
      </c>
      <c r="AN9" s="80"/>
      <c r="AO9" s="323"/>
      <c r="AP9" s="324"/>
      <c r="AQ9" s="324"/>
      <c r="AR9" s="324"/>
      <c r="AS9" s="324"/>
      <c r="AT9" s="325"/>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row>
    <row r="10" spans="1:91" ht="15" customHeight="1" x14ac:dyDescent="0.45">
      <c r="A10" s="80"/>
      <c r="B10" s="261"/>
      <c r="C10" s="261"/>
      <c r="D10" s="262"/>
      <c r="E10" s="302"/>
      <c r="F10" s="303"/>
      <c r="G10" s="303"/>
      <c r="H10" s="303"/>
      <c r="I10" s="304"/>
      <c r="J10" s="48" t="str">
        <f ca="1">IF(AND('Mapa final'!$Y$18="Muy Alta",'Mapa final'!$AA$18="Leve"),CONCATENATE("R5C",'Mapa final'!$O$18),"")</f>
        <v/>
      </c>
      <c r="K10" s="49" t="str">
        <f ca="1">IF(AND('Mapa final'!$Y$19="Muy Alta",'Mapa final'!$AA$19="Leve"),CONCATENATE("R5C",'Mapa final'!$O$19),"")</f>
        <v/>
      </c>
      <c r="L10" s="54" t="e">
        <f>IF(AND('Mapa final'!#REF!="Muy Alta",'Mapa final'!#REF!="Leve"),CONCATENATE("R5C",'Mapa final'!#REF!),"")</f>
        <v>#REF!</v>
      </c>
      <c r="M10" s="54" t="e">
        <f>IF(AND('Mapa final'!#REF!="Muy Alta",'Mapa final'!#REF!="Leve"),CONCATENATE("R5C",'Mapa final'!#REF!),"")</f>
        <v>#REF!</v>
      </c>
      <c r="N10" s="54" t="e">
        <f>IF(AND('Mapa final'!#REF!="Muy Alta",'Mapa final'!#REF!="Leve"),CONCATENATE("R5C",'Mapa final'!#REF!),"")</f>
        <v>#REF!</v>
      </c>
      <c r="O10" s="50" t="e">
        <f>IF(AND('Mapa final'!#REF!="Muy Alta",'Mapa final'!#REF!="Leve"),CONCATENATE("R5C",'Mapa final'!#REF!),"")</f>
        <v>#REF!</v>
      </c>
      <c r="P10" s="48" t="str">
        <f ca="1">IF(AND('Mapa final'!$Y$18="Muy Alta",'Mapa final'!$AA$18="Menor"),CONCATENATE("R5C",'Mapa final'!$O$18),"")</f>
        <v/>
      </c>
      <c r="Q10" s="49" t="str">
        <f ca="1">IF(AND('Mapa final'!$Y$19="Muy Alta",'Mapa final'!$AA$19="Menor"),CONCATENATE("R5C",'Mapa final'!$O$19),"")</f>
        <v/>
      </c>
      <c r="R10" s="54" t="e">
        <f>IF(AND('Mapa final'!#REF!="Muy Alta",'Mapa final'!#REF!="Menor"),CONCATENATE("R5C",'Mapa final'!#REF!),"")</f>
        <v>#REF!</v>
      </c>
      <c r="S10" s="54" t="e">
        <f>IF(AND('Mapa final'!#REF!="Muy Alta",'Mapa final'!#REF!="Menor"),CONCATENATE("R5C",'Mapa final'!#REF!),"")</f>
        <v>#REF!</v>
      </c>
      <c r="T10" s="54" t="e">
        <f>IF(AND('Mapa final'!#REF!="Muy Alta",'Mapa final'!#REF!="Menor"),CONCATENATE("R5C",'Mapa final'!#REF!),"")</f>
        <v>#REF!</v>
      </c>
      <c r="U10" s="50" t="e">
        <f>IF(AND('Mapa final'!#REF!="Muy Alta",'Mapa final'!#REF!="Menor"),CONCATENATE("R5C",'Mapa final'!#REF!),"")</f>
        <v>#REF!</v>
      </c>
      <c r="V10" s="48" t="str">
        <f ca="1">IF(AND('Mapa final'!$Y$18="Muy Alta",'Mapa final'!$AA$18="Moderado"),CONCATENATE("R5C",'Mapa final'!$O$18),"")</f>
        <v/>
      </c>
      <c r="W10" s="49" t="str">
        <f ca="1">IF(AND('Mapa final'!$Y$19="Muy Alta",'Mapa final'!$AA$19="Moderado"),CONCATENATE("R5C",'Mapa final'!$O$19),"")</f>
        <v/>
      </c>
      <c r="X10" s="54" t="e">
        <f>IF(AND('Mapa final'!#REF!="Muy Alta",'Mapa final'!#REF!="Moderado"),CONCATENATE("R5C",'Mapa final'!#REF!),"")</f>
        <v>#REF!</v>
      </c>
      <c r="Y10" s="54" t="e">
        <f>IF(AND('Mapa final'!#REF!="Muy Alta",'Mapa final'!#REF!="Moderado"),CONCATENATE("R5C",'Mapa final'!#REF!),"")</f>
        <v>#REF!</v>
      </c>
      <c r="Z10" s="54" t="e">
        <f>IF(AND('Mapa final'!#REF!="Muy Alta",'Mapa final'!#REF!="Moderado"),CONCATENATE("R5C",'Mapa final'!#REF!),"")</f>
        <v>#REF!</v>
      </c>
      <c r="AA10" s="50" t="e">
        <f>IF(AND('Mapa final'!#REF!="Muy Alta",'Mapa final'!#REF!="Moderado"),CONCATENATE("R5C",'Mapa final'!#REF!),"")</f>
        <v>#REF!</v>
      </c>
      <c r="AB10" s="48" t="str">
        <f ca="1">IF(AND('Mapa final'!$Y$18="Muy Alta",'Mapa final'!$AA$18="Mayor"),CONCATENATE("R5C",'Mapa final'!$O$18),"")</f>
        <v/>
      </c>
      <c r="AC10" s="49" t="str">
        <f ca="1">IF(AND('Mapa final'!$Y$19="Muy Alta",'Mapa final'!$AA$19="Mayor"),CONCATENATE("R5C",'Mapa final'!$O$19),"")</f>
        <v/>
      </c>
      <c r="AD10" s="54" t="e">
        <f>IF(AND('Mapa final'!#REF!="Muy Alta",'Mapa final'!#REF!="Mayor"),CONCATENATE("R5C",'Mapa final'!#REF!),"")</f>
        <v>#REF!</v>
      </c>
      <c r="AE10" s="54" t="e">
        <f>IF(AND('Mapa final'!#REF!="Muy Alta",'Mapa final'!#REF!="Mayor"),CONCATENATE("R5C",'Mapa final'!#REF!),"")</f>
        <v>#REF!</v>
      </c>
      <c r="AF10" s="54" t="e">
        <f>IF(AND('Mapa final'!#REF!="Muy Alta",'Mapa final'!#REF!="Mayor"),CONCATENATE("R5C",'Mapa final'!#REF!),"")</f>
        <v>#REF!</v>
      </c>
      <c r="AG10" s="50" t="e">
        <f>IF(AND('Mapa final'!#REF!="Muy Alta",'Mapa final'!#REF!="Mayor"),CONCATENATE("R5C",'Mapa final'!#REF!),"")</f>
        <v>#REF!</v>
      </c>
      <c r="AH10" s="51" t="str">
        <f ca="1">IF(AND('Mapa final'!$Y$18="Muy Alta",'Mapa final'!$AA$18="Catastrófico"),CONCATENATE("R5C",'Mapa final'!$O$18),"")</f>
        <v/>
      </c>
      <c r="AI10" s="52" t="str">
        <f ca="1">IF(AND('Mapa final'!$Y$19="Muy Alta",'Mapa final'!$AA$19="Catastrófico"),CONCATENATE("R5C",'Mapa final'!$O$19),"")</f>
        <v/>
      </c>
      <c r="AJ10" s="52" t="e">
        <f>IF(AND('Mapa final'!#REF!="Muy Alta",'Mapa final'!#REF!="Catastrófico"),CONCATENATE("R5C",'Mapa final'!#REF!),"")</f>
        <v>#REF!</v>
      </c>
      <c r="AK10" s="52" t="e">
        <f>IF(AND('Mapa final'!#REF!="Muy Alta",'Mapa final'!#REF!="Catastrófico"),CONCATENATE("R5C",'Mapa final'!#REF!),"")</f>
        <v>#REF!</v>
      </c>
      <c r="AL10" s="52" t="e">
        <f>IF(AND('Mapa final'!#REF!="Muy Alta",'Mapa final'!#REF!="Catastrófico"),CONCATENATE("R5C",'Mapa final'!#REF!),"")</f>
        <v>#REF!</v>
      </c>
      <c r="AM10" s="53" t="e">
        <f>IF(AND('Mapa final'!#REF!="Muy Alta",'Mapa final'!#REF!="Catastrófico"),CONCATENATE("R5C",'Mapa final'!#REF!),"")</f>
        <v>#REF!</v>
      </c>
      <c r="AN10" s="80"/>
      <c r="AO10" s="323"/>
      <c r="AP10" s="324"/>
      <c r="AQ10" s="324"/>
      <c r="AR10" s="324"/>
      <c r="AS10" s="324"/>
      <c r="AT10" s="325"/>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row>
    <row r="11" spans="1:91" ht="15" customHeight="1" x14ac:dyDescent="0.45">
      <c r="A11" s="80"/>
      <c r="B11" s="261"/>
      <c r="C11" s="261"/>
      <c r="D11" s="262"/>
      <c r="E11" s="302"/>
      <c r="F11" s="303"/>
      <c r="G11" s="303"/>
      <c r="H11" s="303"/>
      <c r="I11" s="304"/>
      <c r="J11" s="48" t="str">
        <f ca="1">IF(AND('Mapa final'!$Y$20="Muy Alta",'Mapa final'!$AA$20="Leve"),CONCATENATE("R6C",'Mapa final'!$O$20),"")</f>
        <v/>
      </c>
      <c r="K11" s="49" t="e">
        <f>IF(AND('Mapa final'!#REF!="Muy Alta",'Mapa final'!#REF!="Leve"),CONCATENATE("R6C",'Mapa final'!#REF!),"")</f>
        <v>#REF!</v>
      </c>
      <c r="L11" s="54" t="e">
        <f>IF(AND('Mapa final'!#REF!="Muy Alta",'Mapa final'!#REF!="Leve"),CONCATENATE("R6C",'Mapa final'!#REF!),"")</f>
        <v>#REF!</v>
      </c>
      <c r="M11" s="54" t="e">
        <f>IF(AND('Mapa final'!#REF!="Muy Alta",'Mapa final'!#REF!="Leve"),CONCATENATE("R6C",'Mapa final'!#REF!),"")</f>
        <v>#REF!</v>
      </c>
      <c r="N11" s="54" t="e">
        <f>IF(AND('Mapa final'!#REF!="Muy Alta",'Mapa final'!#REF!="Leve"),CONCATENATE("R6C",'Mapa final'!#REF!),"")</f>
        <v>#REF!</v>
      </c>
      <c r="O11" s="50" t="e">
        <f>IF(AND('Mapa final'!#REF!="Muy Alta",'Mapa final'!#REF!="Leve"),CONCATENATE("R6C",'Mapa final'!#REF!),"")</f>
        <v>#REF!</v>
      </c>
      <c r="P11" s="48" t="str">
        <f ca="1">IF(AND('Mapa final'!$Y$20="Muy Alta",'Mapa final'!$AA$20="Menor"),CONCATENATE("R6C",'Mapa final'!$O$20),"")</f>
        <v/>
      </c>
      <c r="Q11" s="49" t="e">
        <f>IF(AND('Mapa final'!#REF!="Muy Alta",'Mapa final'!#REF!="Menor"),CONCATENATE("R6C",'Mapa final'!#REF!),"")</f>
        <v>#REF!</v>
      </c>
      <c r="R11" s="54" t="e">
        <f>IF(AND('Mapa final'!#REF!="Muy Alta",'Mapa final'!#REF!="Menor"),CONCATENATE("R6C",'Mapa final'!#REF!),"")</f>
        <v>#REF!</v>
      </c>
      <c r="S11" s="54" t="e">
        <f>IF(AND('Mapa final'!#REF!="Muy Alta",'Mapa final'!#REF!="Menor"),CONCATENATE("R6C",'Mapa final'!#REF!),"")</f>
        <v>#REF!</v>
      </c>
      <c r="T11" s="54" t="e">
        <f>IF(AND('Mapa final'!#REF!="Muy Alta",'Mapa final'!#REF!="Menor"),CONCATENATE("R6C",'Mapa final'!#REF!),"")</f>
        <v>#REF!</v>
      </c>
      <c r="U11" s="50" t="e">
        <f>IF(AND('Mapa final'!#REF!="Muy Alta",'Mapa final'!#REF!="Menor"),CONCATENATE("R6C",'Mapa final'!#REF!),"")</f>
        <v>#REF!</v>
      </c>
      <c r="V11" s="48" t="str">
        <f ca="1">IF(AND('Mapa final'!$Y$20="Muy Alta",'Mapa final'!$AA$20="Moderado"),CONCATENATE("R6C",'Mapa final'!$O$20),"")</f>
        <v/>
      </c>
      <c r="W11" s="49" t="e">
        <f>IF(AND('Mapa final'!#REF!="Muy Alta",'Mapa final'!#REF!="Moderado"),CONCATENATE("R6C",'Mapa final'!#REF!),"")</f>
        <v>#REF!</v>
      </c>
      <c r="X11" s="54" t="e">
        <f>IF(AND('Mapa final'!#REF!="Muy Alta",'Mapa final'!#REF!="Moderado"),CONCATENATE("R6C",'Mapa final'!#REF!),"")</f>
        <v>#REF!</v>
      </c>
      <c r="Y11" s="54" t="e">
        <f>IF(AND('Mapa final'!#REF!="Muy Alta",'Mapa final'!#REF!="Moderado"),CONCATENATE("R6C",'Mapa final'!#REF!),"")</f>
        <v>#REF!</v>
      </c>
      <c r="Z11" s="54" t="e">
        <f>IF(AND('Mapa final'!#REF!="Muy Alta",'Mapa final'!#REF!="Moderado"),CONCATENATE("R6C",'Mapa final'!#REF!),"")</f>
        <v>#REF!</v>
      </c>
      <c r="AA11" s="50" t="e">
        <f>IF(AND('Mapa final'!#REF!="Muy Alta",'Mapa final'!#REF!="Moderado"),CONCATENATE("R6C",'Mapa final'!#REF!),"")</f>
        <v>#REF!</v>
      </c>
      <c r="AB11" s="48" t="str">
        <f ca="1">IF(AND('Mapa final'!$Y$20="Muy Alta",'Mapa final'!$AA$20="Mayor"),CONCATENATE("R6C",'Mapa final'!$O$20),"")</f>
        <v/>
      </c>
      <c r="AC11" s="49" t="e">
        <f>IF(AND('Mapa final'!#REF!="Muy Alta",'Mapa final'!#REF!="Mayor"),CONCATENATE("R6C",'Mapa final'!#REF!),"")</f>
        <v>#REF!</v>
      </c>
      <c r="AD11" s="54" t="e">
        <f>IF(AND('Mapa final'!#REF!="Muy Alta",'Mapa final'!#REF!="Mayor"),CONCATENATE("R6C",'Mapa final'!#REF!),"")</f>
        <v>#REF!</v>
      </c>
      <c r="AE11" s="54" t="e">
        <f>IF(AND('Mapa final'!#REF!="Muy Alta",'Mapa final'!#REF!="Mayor"),CONCATENATE("R6C",'Mapa final'!#REF!),"")</f>
        <v>#REF!</v>
      </c>
      <c r="AF11" s="54" t="e">
        <f>IF(AND('Mapa final'!#REF!="Muy Alta",'Mapa final'!#REF!="Mayor"),CONCATENATE("R6C",'Mapa final'!#REF!),"")</f>
        <v>#REF!</v>
      </c>
      <c r="AG11" s="50" t="e">
        <f>IF(AND('Mapa final'!#REF!="Muy Alta",'Mapa final'!#REF!="Mayor"),CONCATENATE("R6C",'Mapa final'!#REF!),"")</f>
        <v>#REF!</v>
      </c>
      <c r="AH11" s="51" t="str">
        <f ca="1">IF(AND('Mapa final'!$Y$20="Muy Alta",'Mapa final'!$AA$20="Catastrófico"),CONCATENATE("R6C",'Mapa final'!$O$20),"")</f>
        <v/>
      </c>
      <c r="AI11" s="52" t="e">
        <f>IF(AND('Mapa final'!#REF!="Muy Alta",'Mapa final'!#REF!="Catastrófico"),CONCATENATE("R6C",'Mapa final'!#REF!),"")</f>
        <v>#REF!</v>
      </c>
      <c r="AJ11" s="52" t="e">
        <f>IF(AND('Mapa final'!#REF!="Muy Alta",'Mapa final'!#REF!="Catastrófico"),CONCATENATE("R6C",'Mapa final'!#REF!),"")</f>
        <v>#REF!</v>
      </c>
      <c r="AK11" s="52" t="e">
        <f>IF(AND('Mapa final'!#REF!="Muy Alta",'Mapa final'!#REF!="Catastrófico"),CONCATENATE("R6C",'Mapa final'!#REF!),"")</f>
        <v>#REF!</v>
      </c>
      <c r="AL11" s="52" t="e">
        <f>IF(AND('Mapa final'!#REF!="Muy Alta",'Mapa final'!#REF!="Catastrófico"),CONCATENATE("R6C",'Mapa final'!#REF!),"")</f>
        <v>#REF!</v>
      </c>
      <c r="AM11" s="53" t="e">
        <f>IF(AND('Mapa final'!#REF!="Muy Alta",'Mapa final'!#REF!="Catastrófico"),CONCATENATE("R6C",'Mapa final'!#REF!),"")</f>
        <v>#REF!</v>
      </c>
      <c r="AN11" s="80"/>
      <c r="AO11" s="323"/>
      <c r="AP11" s="324"/>
      <c r="AQ11" s="324"/>
      <c r="AR11" s="324"/>
      <c r="AS11" s="324"/>
      <c r="AT11" s="325"/>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row>
    <row r="12" spans="1:91" ht="15" customHeight="1" x14ac:dyDescent="0.45">
      <c r="A12" s="80"/>
      <c r="B12" s="261"/>
      <c r="C12" s="261"/>
      <c r="D12" s="262"/>
      <c r="E12" s="302"/>
      <c r="F12" s="303"/>
      <c r="G12" s="303"/>
      <c r="H12" s="303"/>
      <c r="I12" s="304"/>
      <c r="J12" s="48" t="str">
        <f ca="1">IF(AND('Mapa final'!$Y$21="Muy Alta",'Mapa final'!$AA$21="Leve"),CONCATENATE("R7C",'Mapa final'!$O$21),"")</f>
        <v/>
      </c>
      <c r="K12" s="49" t="str">
        <f ca="1">IF(AND('Mapa final'!$Y$22="Muy Alta",'Mapa final'!$AA$22="Leve"),CONCATENATE("R7C",'Mapa final'!$O$22),"")</f>
        <v/>
      </c>
      <c r="L12" s="54" t="str">
        <f ca="1">IF(AND('Mapa final'!$Y$23="Muy Alta",'Mapa final'!$AA$23="Leve"),CONCATENATE("R7C",'Mapa final'!$O$23),"")</f>
        <v/>
      </c>
      <c r="M12" s="54" t="e">
        <f>IF(AND('Mapa final'!#REF!="Muy Alta",'Mapa final'!#REF!="Leve"),CONCATENATE("R7C",'Mapa final'!#REF!),"")</f>
        <v>#REF!</v>
      </c>
      <c r="N12" s="54" t="e">
        <f>IF(AND('Mapa final'!#REF!="Muy Alta",'Mapa final'!#REF!="Leve"),CONCATENATE("R7C",'Mapa final'!#REF!),"")</f>
        <v>#REF!</v>
      </c>
      <c r="O12" s="50" t="e">
        <f>IF(AND('Mapa final'!#REF!="Muy Alta",'Mapa final'!#REF!="Leve"),CONCATENATE("R7C",'Mapa final'!#REF!),"")</f>
        <v>#REF!</v>
      </c>
      <c r="P12" s="48" t="str">
        <f ca="1">IF(AND('Mapa final'!$Y$21="Muy Alta",'Mapa final'!$AA$21="Menor"),CONCATENATE("R7C",'Mapa final'!$O$21),"")</f>
        <v/>
      </c>
      <c r="Q12" s="49" t="str">
        <f ca="1">IF(AND('Mapa final'!$Y$22="Muy Alta",'Mapa final'!$AA$22="Menor"),CONCATENATE("R7C",'Mapa final'!$O$22),"")</f>
        <v/>
      </c>
      <c r="R12" s="54" t="str">
        <f ca="1">IF(AND('Mapa final'!$Y$23="Muy Alta",'Mapa final'!$AA$23="Menor"),CONCATENATE("R7C",'Mapa final'!$O$23),"")</f>
        <v/>
      </c>
      <c r="S12" s="54" t="e">
        <f>IF(AND('Mapa final'!#REF!="Muy Alta",'Mapa final'!#REF!="Menor"),CONCATENATE("R7C",'Mapa final'!#REF!),"")</f>
        <v>#REF!</v>
      </c>
      <c r="T12" s="54" t="e">
        <f>IF(AND('Mapa final'!#REF!="Muy Alta",'Mapa final'!#REF!="Menor"),CONCATENATE("R7C",'Mapa final'!#REF!),"")</f>
        <v>#REF!</v>
      </c>
      <c r="U12" s="50" t="e">
        <f>IF(AND('Mapa final'!#REF!="Muy Alta",'Mapa final'!#REF!="Menor"),CONCATENATE("R7C",'Mapa final'!#REF!),"")</f>
        <v>#REF!</v>
      </c>
      <c r="V12" s="48" t="str">
        <f ca="1">IF(AND('Mapa final'!$Y$21="Muy Alta",'Mapa final'!$AA$21="Moderado"),CONCATENATE("R7C",'Mapa final'!$O$21),"")</f>
        <v/>
      </c>
      <c r="W12" s="49" t="str">
        <f ca="1">IF(AND('Mapa final'!$Y$22="Muy Alta",'Mapa final'!$AA$22="Moderado"),CONCATENATE("R7C",'Mapa final'!$O$22),"")</f>
        <v/>
      </c>
      <c r="X12" s="54" t="str">
        <f ca="1">IF(AND('Mapa final'!$Y$23="Muy Alta",'Mapa final'!$AA$23="Moderado"),CONCATENATE("R7C",'Mapa final'!$O$23),"")</f>
        <v/>
      </c>
      <c r="Y12" s="54" t="e">
        <f>IF(AND('Mapa final'!#REF!="Muy Alta",'Mapa final'!#REF!="Moderado"),CONCATENATE("R7C",'Mapa final'!#REF!),"")</f>
        <v>#REF!</v>
      </c>
      <c r="Z12" s="54" t="e">
        <f>IF(AND('Mapa final'!#REF!="Muy Alta",'Mapa final'!#REF!="Moderado"),CONCATENATE("R7C",'Mapa final'!#REF!),"")</f>
        <v>#REF!</v>
      </c>
      <c r="AA12" s="50" t="e">
        <f>IF(AND('Mapa final'!#REF!="Muy Alta",'Mapa final'!#REF!="Moderado"),CONCATENATE("R7C",'Mapa final'!#REF!),"")</f>
        <v>#REF!</v>
      </c>
      <c r="AB12" s="48" t="str">
        <f ca="1">IF(AND('Mapa final'!$Y$21="Muy Alta",'Mapa final'!$AA$21="Mayor"),CONCATENATE("R7C",'Mapa final'!$O$21),"")</f>
        <v/>
      </c>
      <c r="AC12" s="49" t="str">
        <f ca="1">IF(AND('Mapa final'!$Y$22="Muy Alta",'Mapa final'!$AA$22="Mayor"),CONCATENATE("R7C",'Mapa final'!$O$22),"")</f>
        <v/>
      </c>
      <c r="AD12" s="54" t="str">
        <f ca="1">IF(AND('Mapa final'!$Y$23="Muy Alta",'Mapa final'!$AA$23="Mayor"),CONCATENATE("R7C",'Mapa final'!$O$23),"")</f>
        <v/>
      </c>
      <c r="AE12" s="54" t="e">
        <f>IF(AND('Mapa final'!#REF!="Muy Alta",'Mapa final'!#REF!="Mayor"),CONCATENATE("R7C",'Mapa final'!#REF!),"")</f>
        <v>#REF!</v>
      </c>
      <c r="AF12" s="54" t="e">
        <f>IF(AND('Mapa final'!#REF!="Muy Alta",'Mapa final'!#REF!="Mayor"),CONCATENATE("R7C",'Mapa final'!#REF!),"")</f>
        <v>#REF!</v>
      </c>
      <c r="AG12" s="50" t="e">
        <f>IF(AND('Mapa final'!#REF!="Muy Alta",'Mapa final'!#REF!="Mayor"),CONCATENATE("R7C",'Mapa final'!#REF!),"")</f>
        <v>#REF!</v>
      </c>
      <c r="AH12" s="51" t="str">
        <f ca="1">IF(AND('Mapa final'!$Y$21="Muy Alta",'Mapa final'!$AA$21="Catastrófico"),CONCATENATE("R7C",'Mapa final'!$O$21),"")</f>
        <v/>
      </c>
      <c r="AI12" s="52" t="str">
        <f ca="1">IF(AND('Mapa final'!$Y$22="Muy Alta",'Mapa final'!$AA$22="Catastrófico"),CONCATENATE("R7C",'Mapa final'!$O$22),"")</f>
        <v/>
      </c>
      <c r="AJ12" s="52" t="str">
        <f ca="1">IF(AND('Mapa final'!$Y$23="Muy Alta",'Mapa final'!$AA$23="Catastrófico"),CONCATENATE("R7C",'Mapa final'!$O$23),"")</f>
        <v/>
      </c>
      <c r="AK12" s="52" t="e">
        <f>IF(AND('Mapa final'!#REF!="Muy Alta",'Mapa final'!#REF!="Catastrófico"),CONCATENATE("R7C",'Mapa final'!#REF!),"")</f>
        <v>#REF!</v>
      </c>
      <c r="AL12" s="52" t="e">
        <f>IF(AND('Mapa final'!#REF!="Muy Alta",'Mapa final'!#REF!="Catastrófico"),CONCATENATE("R7C",'Mapa final'!#REF!),"")</f>
        <v>#REF!</v>
      </c>
      <c r="AM12" s="53" t="e">
        <f>IF(AND('Mapa final'!#REF!="Muy Alta",'Mapa final'!#REF!="Catastrófico"),CONCATENATE("R7C",'Mapa final'!#REF!),"")</f>
        <v>#REF!</v>
      </c>
      <c r="AN12" s="80"/>
      <c r="AO12" s="323"/>
      <c r="AP12" s="324"/>
      <c r="AQ12" s="324"/>
      <c r="AR12" s="324"/>
      <c r="AS12" s="324"/>
      <c r="AT12" s="325"/>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row>
    <row r="13" spans="1:91" ht="15" customHeight="1" x14ac:dyDescent="0.45">
      <c r="A13" s="80"/>
      <c r="B13" s="261"/>
      <c r="C13" s="261"/>
      <c r="D13" s="262"/>
      <c r="E13" s="302"/>
      <c r="F13" s="303"/>
      <c r="G13" s="303"/>
      <c r="H13" s="303"/>
      <c r="I13" s="304"/>
      <c r="J13" s="48" t="str">
        <f ca="1">IF(AND('Mapa final'!$Y$24="Muy Alta",'Mapa final'!$AA$24="Leve"),CONCATENATE("R8C",'Mapa final'!$O$24),"")</f>
        <v/>
      </c>
      <c r="K13" s="49" t="e">
        <f>IF(AND('Mapa final'!#REF!="Muy Alta",'Mapa final'!#REF!="Leve"),CONCATENATE("R8C",'Mapa final'!#REF!),"")</f>
        <v>#REF!</v>
      </c>
      <c r="L13" s="54" t="e">
        <f>IF(AND('Mapa final'!#REF!="Muy Alta",'Mapa final'!#REF!="Leve"),CONCATENATE("R8C",'Mapa final'!#REF!),"")</f>
        <v>#REF!</v>
      </c>
      <c r="M13" s="54" t="e">
        <f>IF(AND('Mapa final'!#REF!="Muy Alta",'Mapa final'!#REF!="Leve"),CONCATENATE("R8C",'Mapa final'!#REF!),"")</f>
        <v>#REF!</v>
      </c>
      <c r="N13" s="54" t="e">
        <f>IF(AND('Mapa final'!#REF!="Muy Alta",'Mapa final'!#REF!="Leve"),CONCATENATE("R8C",'Mapa final'!#REF!),"")</f>
        <v>#REF!</v>
      </c>
      <c r="O13" s="50" t="e">
        <f>IF(AND('Mapa final'!#REF!="Muy Alta",'Mapa final'!#REF!="Leve"),CONCATENATE("R8C",'Mapa final'!#REF!),"")</f>
        <v>#REF!</v>
      </c>
      <c r="P13" s="48" t="str">
        <f ca="1">IF(AND('Mapa final'!$Y$24="Muy Alta",'Mapa final'!$AA$24="Menor"),CONCATENATE("R8C",'Mapa final'!$O$24),"")</f>
        <v/>
      </c>
      <c r="Q13" s="49" t="e">
        <f>IF(AND('Mapa final'!#REF!="Muy Alta",'Mapa final'!#REF!="Menor"),CONCATENATE("R8C",'Mapa final'!#REF!),"")</f>
        <v>#REF!</v>
      </c>
      <c r="R13" s="54" t="e">
        <f>IF(AND('Mapa final'!#REF!="Muy Alta",'Mapa final'!#REF!="Menor"),CONCATENATE("R8C",'Mapa final'!#REF!),"")</f>
        <v>#REF!</v>
      </c>
      <c r="S13" s="54" t="e">
        <f>IF(AND('Mapa final'!#REF!="Muy Alta",'Mapa final'!#REF!="Menor"),CONCATENATE("R8C",'Mapa final'!#REF!),"")</f>
        <v>#REF!</v>
      </c>
      <c r="T13" s="54" t="e">
        <f>IF(AND('Mapa final'!#REF!="Muy Alta",'Mapa final'!#REF!="Menor"),CONCATENATE("R8C",'Mapa final'!#REF!),"")</f>
        <v>#REF!</v>
      </c>
      <c r="U13" s="50" t="e">
        <f>IF(AND('Mapa final'!#REF!="Muy Alta",'Mapa final'!#REF!="Menor"),CONCATENATE("R8C",'Mapa final'!#REF!),"")</f>
        <v>#REF!</v>
      </c>
      <c r="V13" s="48" t="str">
        <f ca="1">IF(AND('Mapa final'!$Y$24="Muy Alta",'Mapa final'!$AA$24="Moderado"),CONCATENATE("R8C",'Mapa final'!$O$24),"")</f>
        <v/>
      </c>
      <c r="W13" s="49" t="e">
        <f>IF(AND('Mapa final'!#REF!="Muy Alta",'Mapa final'!#REF!="Moderado"),CONCATENATE("R8C",'Mapa final'!#REF!),"")</f>
        <v>#REF!</v>
      </c>
      <c r="X13" s="54" t="e">
        <f>IF(AND('Mapa final'!#REF!="Muy Alta",'Mapa final'!#REF!="Moderado"),CONCATENATE("R8C",'Mapa final'!#REF!),"")</f>
        <v>#REF!</v>
      </c>
      <c r="Y13" s="54" t="e">
        <f>IF(AND('Mapa final'!#REF!="Muy Alta",'Mapa final'!#REF!="Moderado"),CONCATENATE("R8C",'Mapa final'!#REF!),"")</f>
        <v>#REF!</v>
      </c>
      <c r="Z13" s="54" t="e">
        <f>IF(AND('Mapa final'!#REF!="Muy Alta",'Mapa final'!#REF!="Moderado"),CONCATENATE("R8C",'Mapa final'!#REF!),"")</f>
        <v>#REF!</v>
      </c>
      <c r="AA13" s="50" t="e">
        <f>IF(AND('Mapa final'!#REF!="Muy Alta",'Mapa final'!#REF!="Moderado"),CONCATENATE("R8C",'Mapa final'!#REF!),"")</f>
        <v>#REF!</v>
      </c>
      <c r="AB13" s="48" t="str">
        <f ca="1">IF(AND('Mapa final'!$Y$24="Muy Alta",'Mapa final'!$AA$24="Mayor"),CONCATENATE("R8C",'Mapa final'!$O$24),"")</f>
        <v/>
      </c>
      <c r="AC13" s="49" t="e">
        <f>IF(AND('Mapa final'!#REF!="Muy Alta",'Mapa final'!#REF!="Mayor"),CONCATENATE("R8C",'Mapa final'!#REF!),"")</f>
        <v>#REF!</v>
      </c>
      <c r="AD13" s="54" t="e">
        <f>IF(AND('Mapa final'!#REF!="Muy Alta",'Mapa final'!#REF!="Mayor"),CONCATENATE("R8C",'Mapa final'!#REF!),"")</f>
        <v>#REF!</v>
      </c>
      <c r="AE13" s="54" t="e">
        <f>IF(AND('Mapa final'!#REF!="Muy Alta",'Mapa final'!#REF!="Mayor"),CONCATENATE("R8C",'Mapa final'!#REF!),"")</f>
        <v>#REF!</v>
      </c>
      <c r="AF13" s="54" t="e">
        <f>IF(AND('Mapa final'!#REF!="Muy Alta",'Mapa final'!#REF!="Mayor"),CONCATENATE("R8C",'Mapa final'!#REF!),"")</f>
        <v>#REF!</v>
      </c>
      <c r="AG13" s="50" t="e">
        <f>IF(AND('Mapa final'!#REF!="Muy Alta",'Mapa final'!#REF!="Mayor"),CONCATENATE("R8C",'Mapa final'!#REF!),"")</f>
        <v>#REF!</v>
      </c>
      <c r="AH13" s="51" t="str">
        <f ca="1">IF(AND('Mapa final'!$Y$24="Muy Alta",'Mapa final'!$AA$24="Catastrófico"),CONCATENATE("R8C",'Mapa final'!$O$24),"")</f>
        <v/>
      </c>
      <c r="AI13" s="52" t="e">
        <f>IF(AND('Mapa final'!#REF!="Muy Alta",'Mapa final'!#REF!="Catastrófico"),CONCATENATE("R8C",'Mapa final'!#REF!),"")</f>
        <v>#REF!</v>
      </c>
      <c r="AJ13" s="52" t="e">
        <f>IF(AND('Mapa final'!#REF!="Muy Alta",'Mapa final'!#REF!="Catastrófico"),CONCATENATE("R8C",'Mapa final'!#REF!),"")</f>
        <v>#REF!</v>
      </c>
      <c r="AK13" s="52" t="e">
        <f>IF(AND('Mapa final'!#REF!="Muy Alta",'Mapa final'!#REF!="Catastrófico"),CONCATENATE("R8C",'Mapa final'!#REF!),"")</f>
        <v>#REF!</v>
      </c>
      <c r="AL13" s="52" t="e">
        <f>IF(AND('Mapa final'!#REF!="Muy Alta",'Mapa final'!#REF!="Catastrófico"),CONCATENATE("R8C",'Mapa final'!#REF!),"")</f>
        <v>#REF!</v>
      </c>
      <c r="AM13" s="53" t="e">
        <f>IF(AND('Mapa final'!#REF!="Muy Alta",'Mapa final'!#REF!="Catastrófico"),CONCATENATE("R8C",'Mapa final'!#REF!),"")</f>
        <v>#REF!</v>
      </c>
      <c r="AN13" s="80"/>
      <c r="AO13" s="323"/>
      <c r="AP13" s="324"/>
      <c r="AQ13" s="324"/>
      <c r="AR13" s="324"/>
      <c r="AS13" s="324"/>
      <c r="AT13" s="325"/>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row>
    <row r="14" spans="1:91" ht="15" customHeight="1" x14ac:dyDescent="0.45">
      <c r="A14" s="80"/>
      <c r="B14" s="261"/>
      <c r="C14" s="261"/>
      <c r="D14" s="262"/>
      <c r="E14" s="302"/>
      <c r="F14" s="303"/>
      <c r="G14" s="303"/>
      <c r="H14" s="303"/>
      <c r="I14" s="304"/>
      <c r="J14" s="48" t="e">
        <f>IF(AND('Mapa final'!#REF!="Muy Alta",'Mapa final'!#REF!="Leve"),CONCATENATE("R9C",'Mapa final'!#REF!),"")</f>
        <v>#REF!</v>
      </c>
      <c r="K14" s="49" t="e">
        <f>IF(AND('Mapa final'!#REF!="Muy Alta",'Mapa final'!#REF!="Leve"),CONCATENATE("R9C",'Mapa final'!#REF!),"")</f>
        <v>#REF!</v>
      </c>
      <c r="L14" s="54" t="e">
        <f>IF(AND('Mapa final'!#REF!="Muy Alta",'Mapa final'!#REF!="Leve"),CONCATENATE("R9C",'Mapa final'!#REF!),"")</f>
        <v>#REF!</v>
      </c>
      <c r="M14" s="54" t="e">
        <f>IF(AND('Mapa final'!#REF!="Muy Alta",'Mapa final'!#REF!="Leve"),CONCATENATE("R9C",'Mapa final'!#REF!),"")</f>
        <v>#REF!</v>
      </c>
      <c r="N14" s="54" t="e">
        <f>IF(AND('Mapa final'!#REF!="Muy Alta",'Mapa final'!#REF!="Leve"),CONCATENATE("R9C",'Mapa final'!#REF!),"")</f>
        <v>#REF!</v>
      </c>
      <c r="O14" s="50" t="e">
        <f>IF(AND('Mapa final'!#REF!="Muy Alta",'Mapa final'!#REF!="Leve"),CONCATENATE("R9C",'Mapa final'!#REF!),"")</f>
        <v>#REF!</v>
      </c>
      <c r="P14" s="48" t="e">
        <f>IF(AND('Mapa final'!#REF!="Muy Alta",'Mapa final'!#REF!="Menor"),CONCATENATE("R9C",'Mapa final'!#REF!),"")</f>
        <v>#REF!</v>
      </c>
      <c r="Q14" s="49" t="e">
        <f>IF(AND('Mapa final'!#REF!="Muy Alta",'Mapa final'!#REF!="Menor"),CONCATENATE("R9C",'Mapa final'!#REF!),"")</f>
        <v>#REF!</v>
      </c>
      <c r="R14" s="54" t="e">
        <f>IF(AND('Mapa final'!#REF!="Muy Alta",'Mapa final'!#REF!="Menor"),CONCATENATE("R9C",'Mapa final'!#REF!),"")</f>
        <v>#REF!</v>
      </c>
      <c r="S14" s="54" t="e">
        <f>IF(AND('Mapa final'!#REF!="Muy Alta",'Mapa final'!#REF!="Menor"),CONCATENATE("R9C",'Mapa final'!#REF!),"")</f>
        <v>#REF!</v>
      </c>
      <c r="T14" s="54" t="e">
        <f>IF(AND('Mapa final'!#REF!="Muy Alta",'Mapa final'!#REF!="Menor"),CONCATENATE("R9C",'Mapa final'!#REF!),"")</f>
        <v>#REF!</v>
      </c>
      <c r="U14" s="50" t="e">
        <f>IF(AND('Mapa final'!#REF!="Muy Alta",'Mapa final'!#REF!="Menor"),CONCATENATE("R9C",'Mapa final'!#REF!),"")</f>
        <v>#REF!</v>
      </c>
      <c r="V14" s="48" t="e">
        <f>IF(AND('Mapa final'!#REF!="Muy Alta",'Mapa final'!#REF!="Moderado"),CONCATENATE("R9C",'Mapa final'!#REF!),"")</f>
        <v>#REF!</v>
      </c>
      <c r="W14" s="49" t="e">
        <f>IF(AND('Mapa final'!#REF!="Muy Alta",'Mapa final'!#REF!="Moderado"),CONCATENATE("R9C",'Mapa final'!#REF!),"")</f>
        <v>#REF!</v>
      </c>
      <c r="X14" s="54" t="e">
        <f>IF(AND('Mapa final'!#REF!="Muy Alta",'Mapa final'!#REF!="Moderado"),CONCATENATE("R9C",'Mapa final'!#REF!),"")</f>
        <v>#REF!</v>
      </c>
      <c r="Y14" s="54" t="e">
        <f>IF(AND('Mapa final'!#REF!="Muy Alta",'Mapa final'!#REF!="Moderado"),CONCATENATE("R9C",'Mapa final'!#REF!),"")</f>
        <v>#REF!</v>
      </c>
      <c r="Z14" s="54" t="e">
        <f>IF(AND('Mapa final'!#REF!="Muy Alta",'Mapa final'!#REF!="Moderado"),CONCATENATE("R9C",'Mapa final'!#REF!),"")</f>
        <v>#REF!</v>
      </c>
      <c r="AA14" s="50" t="e">
        <f>IF(AND('Mapa final'!#REF!="Muy Alta",'Mapa final'!#REF!="Moderado"),CONCATENATE("R9C",'Mapa final'!#REF!),"")</f>
        <v>#REF!</v>
      </c>
      <c r="AB14" s="48" t="e">
        <f>IF(AND('Mapa final'!#REF!="Muy Alta",'Mapa final'!#REF!="Mayor"),CONCATENATE("R9C",'Mapa final'!#REF!),"")</f>
        <v>#REF!</v>
      </c>
      <c r="AC14" s="49" t="e">
        <f>IF(AND('Mapa final'!#REF!="Muy Alta",'Mapa final'!#REF!="Mayor"),CONCATENATE("R9C",'Mapa final'!#REF!),"")</f>
        <v>#REF!</v>
      </c>
      <c r="AD14" s="54" t="e">
        <f>IF(AND('Mapa final'!#REF!="Muy Alta",'Mapa final'!#REF!="Mayor"),CONCATENATE("R9C",'Mapa final'!#REF!),"")</f>
        <v>#REF!</v>
      </c>
      <c r="AE14" s="54" t="e">
        <f>IF(AND('Mapa final'!#REF!="Muy Alta",'Mapa final'!#REF!="Mayor"),CONCATENATE("R9C",'Mapa final'!#REF!),"")</f>
        <v>#REF!</v>
      </c>
      <c r="AF14" s="54" t="e">
        <f>IF(AND('Mapa final'!#REF!="Muy Alta",'Mapa final'!#REF!="Mayor"),CONCATENATE("R9C",'Mapa final'!#REF!),"")</f>
        <v>#REF!</v>
      </c>
      <c r="AG14" s="50" t="e">
        <f>IF(AND('Mapa final'!#REF!="Muy Alta",'Mapa final'!#REF!="Mayor"),CONCATENATE("R9C",'Mapa final'!#REF!),"")</f>
        <v>#REF!</v>
      </c>
      <c r="AH14" s="51" t="e">
        <f>IF(AND('Mapa final'!#REF!="Muy Alta",'Mapa final'!#REF!="Catastrófico"),CONCATENATE("R9C",'Mapa final'!#REF!),"")</f>
        <v>#REF!</v>
      </c>
      <c r="AI14" s="52" t="e">
        <f>IF(AND('Mapa final'!#REF!="Muy Alta",'Mapa final'!#REF!="Catastrófico"),CONCATENATE("R9C",'Mapa final'!#REF!),"")</f>
        <v>#REF!</v>
      </c>
      <c r="AJ14" s="52" t="e">
        <f>IF(AND('Mapa final'!#REF!="Muy Alta",'Mapa final'!#REF!="Catastrófico"),CONCATENATE("R9C",'Mapa final'!#REF!),"")</f>
        <v>#REF!</v>
      </c>
      <c r="AK14" s="52" t="e">
        <f>IF(AND('Mapa final'!#REF!="Muy Alta",'Mapa final'!#REF!="Catastrófico"),CONCATENATE("R9C",'Mapa final'!#REF!),"")</f>
        <v>#REF!</v>
      </c>
      <c r="AL14" s="52" t="e">
        <f>IF(AND('Mapa final'!#REF!="Muy Alta",'Mapa final'!#REF!="Catastrófico"),CONCATENATE("R9C",'Mapa final'!#REF!),"")</f>
        <v>#REF!</v>
      </c>
      <c r="AM14" s="53" t="e">
        <f>IF(AND('Mapa final'!#REF!="Muy Alta",'Mapa final'!#REF!="Catastrófico"),CONCATENATE("R9C",'Mapa final'!#REF!),"")</f>
        <v>#REF!</v>
      </c>
      <c r="AN14" s="80"/>
      <c r="AO14" s="323"/>
      <c r="AP14" s="324"/>
      <c r="AQ14" s="324"/>
      <c r="AR14" s="324"/>
      <c r="AS14" s="324"/>
      <c r="AT14" s="325"/>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row>
    <row r="15" spans="1:91" ht="15.75" customHeight="1" thickBot="1" x14ac:dyDescent="0.5">
      <c r="A15" s="80"/>
      <c r="B15" s="261"/>
      <c r="C15" s="261"/>
      <c r="D15" s="262"/>
      <c r="E15" s="305"/>
      <c r="F15" s="306"/>
      <c r="G15" s="306"/>
      <c r="H15" s="306"/>
      <c r="I15" s="307"/>
      <c r="J15" s="55" t="e">
        <f>IF(AND('Mapa final'!#REF!="Muy Alta",'Mapa final'!#REF!="Leve"),CONCATENATE("R10C",'Mapa final'!#REF!),"")</f>
        <v>#REF!</v>
      </c>
      <c r="K15" s="56" t="e">
        <f>IF(AND('Mapa final'!#REF!="Muy Alta",'Mapa final'!#REF!="Leve"),CONCATENATE("R10C",'Mapa final'!#REF!),"")</f>
        <v>#REF!</v>
      </c>
      <c r="L15" s="56" t="e">
        <f>IF(AND('Mapa final'!#REF!="Muy Alta",'Mapa final'!#REF!="Leve"),CONCATENATE("R10C",'Mapa final'!#REF!),"")</f>
        <v>#REF!</v>
      </c>
      <c r="M15" s="56" t="e">
        <f>IF(AND('Mapa final'!#REF!="Muy Alta",'Mapa final'!#REF!="Leve"),CONCATENATE("R10C",'Mapa final'!#REF!),"")</f>
        <v>#REF!</v>
      </c>
      <c r="N15" s="56" t="e">
        <f>IF(AND('Mapa final'!#REF!="Muy Alta",'Mapa final'!#REF!="Leve"),CONCATENATE("R10C",'Mapa final'!#REF!),"")</f>
        <v>#REF!</v>
      </c>
      <c r="O15" s="57" t="e">
        <f>IF(AND('Mapa final'!#REF!="Muy Alta",'Mapa final'!#REF!="Leve"),CONCATENATE("R10C",'Mapa final'!#REF!),"")</f>
        <v>#REF!</v>
      </c>
      <c r="P15" s="48" t="e">
        <f>IF(AND('Mapa final'!#REF!="Muy Alta",'Mapa final'!#REF!="Menor"),CONCATENATE("R10C",'Mapa final'!#REF!),"")</f>
        <v>#REF!</v>
      </c>
      <c r="Q15" s="49" t="e">
        <f>IF(AND('Mapa final'!#REF!="Muy Alta",'Mapa final'!#REF!="Menor"),CONCATENATE("R10C",'Mapa final'!#REF!),"")</f>
        <v>#REF!</v>
      </c>
      <c r="R15" s="49" t="e">
        <f>IF(AND('Mapa final'!#REF!="Muy Alta",'Mapa final'!#REF!="Menor"),CONCATENATE("R10C",'Mapa final'!#REF!),"")</f>
        <v>#REF!</v>
      </c>
      <c r="S15" s="49" t="e">
        <f>IF(AND('Mapa final'!#REF!="Muy Alta",'Mapa final'!#REF!="Menor"),CONCATENATE("R10C",'Mapa final'!#REF!),"")</f>
        <v>#REF!</v>
      </c>
      <c r="T15" s="49" t="e">
        <f>IF(AND('Mapa final'!#REF!="Muy Alta",'Mapa final'!#REF!="Menor"),CONCATENATE("R10C",'Mapa final'!#REF!),"")</f>
        <v>#REF!</v>
      </c>
      <c r="U15" s="50" t="e">
        <f>IF(AND('Mapa final'!#REF!="Muy Alta",'Mapa final'!#REF!="Menor"),CONCATENATE("R10C",'Mapa final'!#REF!),"")</f>
        <v>#REF!</v>
      </c>
      <c r="V15" s="55" t="e">
        <f>IF(AND('Mapa final'!#REF!="Muy Alta",'Mapa final'!#REF!="Moderado"),CONCATENATE("R10C",'Mapa final'!#REF!),"")</f>
        <v>#REF!</v>
      </c>
      <c r="W15" s="56" t="e">
        <f>IF(AND('Mapa final'!#REF!="Muy Alta",'Mapa final'!#REF!="Moderado"),CONCATENATE("R10C",'Mapa final'!#REF!),"")</f>
        <v>#REF!</v>
      </c>
      <c r="X15" s="56" t="e">
        <f>IF(AND('Mapa final'!#REF!="Muy Alta",'Mapa final'!#REF!="Moderado"),CONCATENATE("R10C",'Mapa final'!#REF!),"")</f>
        <v>#REF!</v>
      </c>
      <c r="Y15" s="56" t="e">
        <f>IF(AND('Mapa final'!#REF!="Muy Alta",'Mapa final'!#REF!="Moderado"),CONCATENATE("R10C",'Mapa final'!#REF!),"")</f>
        <v>#REF!</v>
      </c>
      <c r="Z15" s="56" t="e">
        <f>IF(AND('Mapa final'!#REF!="Muy Alta",'Mapa final'!#REF!="Moderado"),CONCATENATE("R10C",'Mapa final'!#REF!),"")</f>
        <v>#REF!</v>
      </c>
      <c r="AA15" s="57" t="e">
        <f>IF(AND('Mapa final'!#REF!="Muy Alta",'Mapa final'!#REF!="Moderado"),CONCATENATE("R10C",'Mapa final'!#REF!),"")</f>
        <v>#REF!</v>
      </c>
      <c r="AB15" s="48" t="e">
        <f>IF(AND('Mapa final'!#REF!="Muy Alta",'Mapa final'!#REF!="Mayor"),CONCATENATE("R10C",'Mapa final'!#REF!),"")</f>
        <v>#REF!</v>
      </c>
      <c r="AC15" s="49" t="e">
        <f>IF(AND('Mapa final'!#REF!="Muy Alta",'Mapa final'!#REF!="Mayor"),CONCATENATE("R10C",'Mapa final'!#REF!),"")</f>
        <v>#REF!</v>
      </c>
      <c r="AD15" s="49" t="e">
        <f>IF(AND('Mapa final'!#REF!="Muy Alta",'Mapa final'!#REF!="Mayor"),CONCATENATE("R10C",'Mapa final'!#REF!),"")</f>
        <v>#REF!</v>
      </c>
      <c r="AE15" s="49" t="e">
        <f>IF(AND('Mapa final'!#REF!="Muy Alta",'Mapa final'!#REF!="Mayor"),CONCATENATE("R10C",'Mapa final'!#REF!),"")</f>
        <v>#REF!</v>
      </c>
      <c r="AF15" s="49" t="e">
        <f>IF(AND('Mapa final'!#REF!="Muy Alta",'Mapa final'!#REF!="Mayor"),CONCATENATE("R10C",'Mapa final'!#REF!),"")</f>
        <v>#REF!</v>
      </c>
      <c r="AG15" s="50" t="e">
        <f>IF(AND('Mapa final'!#REF!="Muy Alta",'Mapa final'!#REF!="Mayor"),CONCATENATE("R10C",'Mapa final'!#REF!),"")</f>
        <v>#REF!</v>
      </c>
      <c r="AH15" s="58" t="e">
        <f>IF(AND('Mapa final'!#REF!="Muy Alta",'Mapa final'!#REF!="Catastrófico"),CONCATENATE("R10C",'Mapa final'!#REF!),"")</f>
        <v>#REF!</v>
      </c>
      <c r="AI15" s="59" t="e">
        <f>IF(AND('Mapa final'!#REF!="Muy Alta",'Mapa final'!#REF!="Catastrófico"),CONCATENATE("R10C",'Mapa final'!#REF!),"")</f>
        <v>#REF!</v>
      </c>
      <c r="AJ15" s="59" t="e">
        <f>IF(AND('Mapa final'!#REF!="Muy Alta",'Mapa final'!#REF!="Catastrófico"),CONCATENATE("R10C",'Mapa final'!#REF!),"")</f>
        <v>#REF!</v>
      </c>
      <c r="AK15" s="59" t="e">
        <f>IF(AND('Mapa final'!#REF!="Muy Alta",'Mapa final'!#REF!="Catastrófico"),CONCATENATE("R10C",'Mapa final'!#REF!),"")</f>
        <v>#REF!</v>
      </c>
      <c r="AL15" s="59" t="e">
        <f>IF(AND('Mapa final'!#REF!="Muy Alta",'Mapa final'!#REF!="Catastrófico"),CONCATENATE("R10C",'Mapa final'!#REF!),"")</f>
        <v>#REF!</v>
      </c>
      <c r="AM15" s="60" t="e">
        <f>IF(AND('Mapa final'!#REF!="Muy Alta",'Mapa final'!#REF!="Catastrófico"),CONCATENATE("R10C",'Mapa final'!#REF!),"")</f>
        <v>#REF!</v>
      </c>
      <c r="AN15" s="80"/>
      <c r="AO15" s="326"/>
      <c r="AP15" s="327"/>
      <c r="AQ15" s="327"/>
      <c r="AR15" s="327"/>
      <c r="AS15" s="327"/>
      <c r="AT15" s="328"/>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row>
    <row r="16" spans="1:91" ht="15" customHeight="1" x14ac:dyDescent="0.45">
      <c r="A16" s="80"/>
      <c r="B16" s="261"/>
      <c r="C16" s="261"/>
      <c r="D16" s="262"/>
      <c r="E16" s="299" t="s">
        <v>114</v>
      </c>
      <c r="F16" s="300"/>
      <c r="G16" s="300"/>
      <c r="H16" s="300"/>
      <c r="I16" s="300"/>
      <c r="J16" s="61" t="str">
        <f ca="1">IF(AND('Mapa final'!$Y$10="Alta",'Mapa final'!$AA$10="Leve"),CONCATENATE("R1C",'Mapa final'!$O$10),"")</f>
        <v/>
      </c>
      <c r="K16" s="62" t="e">
        <f>IF(AND('Mapa final'!#REF!="Alta",'Mapa final'!#REF!="Leve"),CONCATENATE("R1C",'Mapa final'!#REF!),"")</f>
        <v>#REF!</v>
      </c>
      <c r="L16" s="62" t="e">
        <f>IF(AND('Mapa final'!#REF!="Alta",'Mapa final'!#REF!="Leve"),CONCATENATE("R1C",'Mapa final'!#REF!),"")</f>
        <v>#REF!</v>
      </c>
      <c r="M16" s="62" t="e">
        <f>IF(AND('Mapa final'!#REF!="Alta",'Mapa final'!#REF!="Leve"),CONCATENATE("R1C",'Mapa final'!#REF!),"")</f>
        <v>#REF!</v>
      </c>
      <c r="N16" s="62" t="e">
        <f>IF(AND('Mapa final'!#REF!="Alta",'Mapa final'!#REF!="Leve"),CONCATENATE("R1C",'Mapa final'!#REF!),"")</f>
        <v>#REF!</v>
      </c>
      <c r="O16" s="63" t="e">
        <f>IF(AND('Mapa final'!#REF!="Alta",'Mapa final'!#REF!="Leve"),CONCATENATE("R1C",'Mapa final'!#REF!),"")</f>
        <v>#REF!</v>
      </c>
      <c r="P16" s="61" t="str">
        <f ca="1">IF(AND('Mapa final'!$Y$10="Alta",'Mapa final'!$AA$10="Menor"),CONCATENATE("R1C",'Mapa final'!$O$10),"")</f>
        <v/>
      </c>
      <c r="Q16" s="62" t="e">
        <f>IF(AND('Mapa final'!#REF!="Alta",'Mapa final'!#REF!="Menor"),CONCATENATE("R1C",'Mapa final'!#REF!),"")</f>
        <v>#REF!</v>
      </c>
      <c r="R16" s="62" t="e">
        <f>IF(AND('Mapa final'!#REF!="Alta",'Mapa final'!#REF!="Menor"),CONCATENATE("R1C",'Mapa final'!#REF!),"")</f>
        <v>#REF!</v>
      </c>
      <c r="S16" s="62" t="e">
        <f>IF(AND('Mapa final'!#REF!="Alta",'Mapa final'!#REF!="Menor"),CONCATENATE("R1C",'Mapa final'!#REF!),"")</f>
        <v>#REF!</v>
      </c>
      <c r="T16" s="62" t="e">
        <f>IF(AND('Mapa final'!#REF!="Alta",'Mapa final'!#REF!="Menor"),CONCATENATE("R1C",'Mapa final'!#REF!),"")</f>
        <v>#REF!</v>
      </c>
      <c r="U16" s="63" t="e">
        <f>IF(AND('Mapa final'!#REF!="Alta",'Mapa final'!#REF!="Menor"),CONCATENATE("R1C",'Mapa final'!#REF!),"")</f>
        <v>#REF!</v>
      </c>
      <c r="V16" s="42" t="str">
        <f ca="1">IF(AND('Mapa final'!$Y$10="Alta",'Mapa final'!$AA$10="Moderado"),CONCATENATE("R1C",'Mapa final'!$O$10),"")</f>
        <v/>
      </c>
      <c r="W16" s="43" t="e">
        <f>IF(AND('Mapa final'!#REF!="Alta",'Mapa final'!#REF!="Moderado"),CONCATENATE("R1C",'Mapa final'!#REF!),"")</f>
        <v>#REF!</v>
      </c>
      <c r="X16" s="43" t="e">
        <f>IF(AND('Mapa final'!#REF!="Alta",'Mapa final'!#REF!="Moderado"),CONCATENATE("R1C",'Mapa final'!#REF!),"")</f>
        <v>#REF!</v>
      </c>
      <c r="Y16" s="43" t="e">
        <f>IF(AND('Mapa final'!#REF!="Alta",'Mapa final'!#REF!="Moderado"),CONCATENATE("R1C",'Mapa final'!#REF!),"")</f>
        <v>#REF!</v>
      </c>
      <c r="Z16" s="43" t="e">
        <f>IF(AND('Mapa final'!#REF!="Alta",'Mapa final'!#REF!="Moderado"),CONCATENATE("R1C",'Mapa final'!#REF!),"")</f>
        <v>#REF!</v>
      </c>
      <c r="AA16" s="44" t="e">
        <f>IF(AND('Mapa final'!#REF!="Alta",'Mapa final'!#REF!="Moderado"),CONCATENATE("R1C",'Mapa final'!#REF!),"")</f>
        <v>#REF!</v>
      </c>
      <c r="AB16" s="42" t="str">
        <f ca="1">IF(AND('Mapa final'!$Y$10="Alta",'Mapa final'!$AA$10="Mayor"),CONCATENATE("R1C",'Mapa final'!$O$10),"")</f>
        <v/>
      </c>
      <c r="AC16" s="43" t="e">
        <f>IF(AND('Mapa final'!#REF!="Alta",'Mapa final'!#REF!="Mayor"),CONCATENATE("R1C",'Mapa final'!#REF!),"")</f>
        <v>#REF!</v>
      </c>
      <c r="AD16" s="43" t="e">
        <f>IF(AND('Mapa final'!#REF!="Alta",'Mapa final'!#REF!="Mayor"),CONCATENATE("R1C",'Mapa final'!#REF!),"")</f>
        <v>#REF!</v>
      </c>
      <c r="AE16" s="43" t="e">
        <f>IF(AND('Mapa final'!#REF!="Alta",'Mapa final'!#REF!="Mayor"),CONCATENATE("R1C",'Mapa final'!#REF!),"")</f>
        <v>#REF!</v>
      </c>
      <c r="AF16" s="43" t="e">
        <f>IF(AND('Mapa final'!#REF!="Alta",'Mapa final'!#REF!="Mayor"),CONCATENATE("R1C",'Mapa final'!#REF!),"")</f>
        <v>#REF!</v>
      </c>
      <c r="AG16" s="44" t="e">
        <f>IF(AND('Mapa final'!#REF!="Alta",'Mapa final'!#REF!="Mayor"),CONCATENATE("R1C",'Mapa final'!#REF!),"")</f>
        <v>#REF!</v>
      </c>
      <c r="AH16" s="45" t="str">
        <f ca="1">IF(AND('Mapa final'!$Y$10="Alta",'Mapa final'!$AA$10="Catastrófico"),CONCATENATE("R1C",'Mapa final'!$O$10),"")</f>
        <v/>
      </c>
      <c r="AI16" s="46" t="e">
        <f>IF(AND('Mapa final'!#REF!="Alta",'Mapa final'!#REF!="Catastrófico"),CONCATENATE("R1C",'Mapa final'!#REF!),"")</f>
        <v>#REF!</v>
      </c>
      <c r="AJ16" s="46" t="e">
        <f>IF(AND('Mapa final'!#REF!="Alta",'Mapa final'!#REF!="Catastrófico"),CONCATENATE("R1C",'Mapa final'!#REF!),"")</f>
        <v>#REF!</v>
      </c>
      <c r="AK16" s="46" t="e">
        <f>IF(AND('Mapa final'!#REF!="Alta",'Mapa final'!#REF!="Catastrófico"),CONCATENATE("R1C",'Mapa final'!#REF!),"")</f>
        <v>#REF!</v>
      </c>
      <c r="AL16" s="46" t="e">
        <f>IF(AND('Mapa final'!#REF!="Alta",'Mapa final'!#REF!="Catastrófico"),CONCATENATE("R1C",'Mapa final'!#REF!),"")</f>
        <v>#REF!</v>
      </c>
      <c r="AM16" s="47" t="e">
        <f>IF(AND('Mapa final'!#REF!="Alta",'Mapa final'!#REF!="Catastrófico"),CONCATENATE("R1C",'Mapa final'!#REF!),"")</f>
        <v>#REF!</v>
      </c>
      <c r="AN16" s="80"/>
      <c r="AO16" s="309" t="s">
        <v>79</v>
      </c>
      <c r="AP16" s="310"/>
      <c r="AQ16" s="310"/>
      <c r="AR16" s="310"/>
      <c r="AS16" s="310"/>
      <c r="AT16" s="311"/>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row>
    <row r="17" spans="1:76" ht="15" customHeight="1" x14ac:dyDescent="0.45">
      <c r="A17" s="80"/>
      <c r="B17" s="261"/>
      <c r="C17" s="261"/>
      <c r="D17" s="262"/>
      <c r="E17" s="318"/>
      <c r="F17" s="319"/>
      <c r="G17" s="319"/>
      <c r="H17" s="319"/>
      <c r="I17" s="319"/>
      <c r="J17" s="64" t="str">
        <f ca="1">IF(AND('Mapa final'!$Y$11="Alta",'Mapa final'!$AA$11="Leve"),CONCATENATE("R2C",'Mapa final'!$O$11),"")</f>
        <v/>
      </c>
      <c r="K17" s="65" t="str">
        <f ca="1">IF(AND('Mapa final'!$Y$12="Alta",'Mapa final'!$AA$12="Leve"),CONCATENATE("R2C",'Mapa final'!$O$12),"")</f>
        <v/>
      </c>
      <c r="L17" s="65" t="str">
        <f ca="1">IF(AND('Mapa final'!$Y$13="Alta",'Mapa final'!$AA$13="Leve"),CONCATENATE("R2C",'Mapa final'!$O$13),"")</f>
        <v/>
      </c>
      <c r="M17" s="65" t="str">
        <f ca="1">IF(AND('Mapa final'!$Y$14="Alta",'Mapa final'!$AA$14="Leve"),CONCATENATE("R2C",'Mapa final'!$O$14),"")</f>
        <v/>
      </c>
      <c r="N17" s="65" t="e">
        <f>IF(AND('Mapa final'!#REF!="Alta",'Mapa final'!#REF!="Leve"),CONCATENATE("R2C",'Mapa final'!#REF!),"")</f>
        <v>#REF!</v>
      </c>
      <c r="O17" s="66" t="e">
        <f>IF(AND('Mapa final'!#REF!="Alta",'Mapa final'!#REF!="Leve"),CONCATENATE("R2C",'Mapa final'!#REF!),"")</f>
        <v>#REF!</v>
      </c>
      <c r="P17" s="64" t="str">
        <f ca="1">IF(AND('Mapa final'!$Y$11="Alta",'Mapa final'!$AA$11="Menor"),CONCATENATE("R2C",'Mapa final'!$O$11),"")</f>
        <v/>
      </c>
      <c r="Q17" s="65" t="str">
        <f ca="1">IF(AND('Mapa final'!$Y$12="Alta",'Mapa final'!$AA$12="Menor"),CONCATENATE("R2C",'Mapa final'!$O$12),"")</f>
        <v/>
      </c>
      <c r="R17" s="65" t="str">
        <f ca="1">IF(AND('Mapa final'!$Y$13="Alta",'Mapa final'!$AA$13="Menor"),CONCATENATE("R2C",'Mapa final'!$O$13),"")</f>
        <v/>
      </c>
      <c r="S17" s="65" t="str">
        <f ca="1">IF(AND('Mapa final'!$Y$14="Alta",'Mapa final'!$AA$14="Menor"),CONCATENATE("R2C",'Mapa final'!$O$14),"")</f>
        <v/>
      </c>
      <c r="T17" s="65" t="e">
        <f>IF(AND('Mapa final'!#REF!="Alta",'Mapa final'!#REF!="Menor"),CONCATENATE("R2C",'Mapa final'!#REF!),"")</f>
        <v>#REF!</v>
      </c>
      <c r="U17" s="66" t="e">
        <f>IF(AND('Mapa final'!#REF!="Alta",'Mapa final'!#REF!="Menor"),CONCATENATE("R2C",'Mapa final'!#REF!),"")</f>
        <v>#REF!</v>
      </c>
      <c r="V17" s="48" t="str">
        <f ca="1">IF(AND('Mapa final'!$Y$11="Alta",'Mapa final'!$AA$11="Moderado"),CONCATENATE("R2C",'Mapa final'!$O$11),"")</f>
        <v/>
      </c>
      <c r="W17" s="49" t="str">
        <f ca="1">IF(AND('Mapa final'!$Y$12="Alta",'Mapa final'!$AA$12="Moderado"),CONCATENATE("R2C",'Mapa final'!$O$12),"")</f>
        <v/>
      </c>
      <c r="X17" s="49" t="str">
        <f ca="1">IF(AND('Mapa final'!$Y$13="Alta",'Mapa final'!$AA$13="Moderado"),CONCATENATE("R2C",'Mapa final'!$O$13),"")</f>
        <v/>
      </c>
      <c r="Y17" s="49" t="str">
        <f ca="1">IF(AND('Mapa final'!$Y$14="Alta",'Mapa final'!$AA$14="Moderado"),CONCATENATE("R2C",'Mapa final'!$O$14),"")</f>
        <v/>
      </c>
      <c r="Z17" s="49" t="e">
        <f>IF(AND('Mapa final'!#REF!="Alta",'Mapa final'!#REF!="Moderado"),CONCATENATE("R2C",'Mapa final'!#REF!),"")</f>
        <v>#REF!</v>
      </c>
      <c r="AA17" s="50" t="e">
        <f>IF(AND('Mapa final'!#REF!="Alta",'Mapa final'!#REF!="Moderado"),CONCATENATE("R2C",'Mapa final'!#REF!),"")</f>
        <v>#REF!</v>
      </c>
      <c r="AB17" s="48" t="str">
        <f ca="1">IF(AND('Mapa final'!$Y$11="Alta",'Mapa final'!$AA$11="Mayor"),CONCATENATE("R2C",'Mapa final'!$O$11),"")</f>
        <v/>
      </c>
      <c r="AC17" s="49" t="str">
        <f ca="1">IF(AND('Mapa final'!$Y$12="Alta",'Mapa final'!$AA$12="Mayor"),CONCATENATE("R2C",'Mapa final'!$O$12),"")</f>
        <v/>
      </c>
      <c r="AD17" s="49" t="str">
        <f ca="1">IF(AND('Mapa final'!$Y$13="Alta",'Mapa final'!$AA$13="Mayor"),CONCATENATE("R2C",'Mapa final'!$O$13),"")</f>
        <v/>
      </c>
      <c r="AE17" s="49" t="str">
        <f ca="1">IF(AND('Mapa final'!$Y$14="Alta",'Mapa final'!$AA$14="Mayor"),CONCATENATE("R2C",'Mapa final'!$O$14),"")</f>
        <v/>
      </c>
      <c r="AF17" s="49" t="e">
        <f>IF(AND('Mapa final'!#REF!="Alta",'Mapa final'!#REF!="Mayor"),CONCATENATE("R2C",'Mapa final'!#REF!),"")</f>
        <v>#REF!</v>
      </c>
      <c r="AG17" s="50" t="e">
        <f>IF(AND('Mapa final'!#REF!="Alta",'Mapa final'!#REF!="Mayor"),CONCATENATE("R2C",'Mapa final'!#REF!),"")</f>
        <v>#REF!</v>
      </c>
      <c r="AH17" s="51" t="str">
        <f ca="1">IF(AND('Mapa final'!$Y$11="Alta",'Mapa final'!$AA$11="Catastrófico"),CONCATENATE("R2C",'Mapa final'!$O$11),"")</f>
        <v/>
      </c>
      <c r="AI17" s="52" t="str">
        <f ca="1">IF(AND('Mapa final'!$Y$12="Alta",'Mapa final'!$AA$12="Catastrófico"),CONCATENATE("R2C",'Mapa final'!$O$12),"")</f>
        <v/>
      </c>
      <c r="AJ17" s="52" t="str">
        <f ca="1">IF(AND('Mapa final'!$Y$13="Alta",'Mapa final'!$AA$13="Catastrófico"),CONCATENATE("R2C",'Mapa final'!$O$13),"")</f>
        <v/>
      </c>
      <c r="AK17" s="52" t="str">
        <f ca="1">IF(AND('Mapa final'!$Y$14="Alta",'Mapa final'!$AA$14="Catastrófico"),CONCATENATE("R2C",'Mapa final'!$O$14),"")</f>
        <v/>
      </c>
      <c r="AL17" s="52" t="e">
        <f>IF(AND('Mapa final'!#REF!="Alta",'Mapa final'!#REF!="Catastrófico"),CONCATENATE("R2C",'Mapa final'!#REF!),"")</f>
        <v>#REF!</v>
      </c>
      <c r="AM17" s="53" t="e">
        <f>IF(AND('Mapa final'!#REF!="Alta",'Mapa final'!#REF!="Catastrófico"),CONCATENATE("R2C",'Mapa final'!#REF!),"")</f>
        <v>#REF!</v>
      </c>
      <c r="AN17" s="80"/>
      <c r="AO17" s="312"/>
      <c r="AP17" s="313"/>
      <c r="AQ17" s="313"/>
      <c r="AR17" s="313"/>
      <c r="AS17" s="313"/>
      <c r="AT17" s="314"/>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row>
    <row r="18" spans="1:76" ht="15" customHeight="1" x14ac:dyDescent="0.45">
      <c r="A18" s="80"/>
      <c r="B18" s="261"/>
      <c r="C18" s="261"/>
      <c r="D18" s="262"/>
      <c r="E18" s="302"/>
      <c r="F18" s="303"/>
      <c r="G18" s="303"/>
      <c r="H18" s="303"/>
      <c r="I18" s="319"/>
      <c r="J18" s="64" t="str">
        <f ca="1">IF(AND('Mapa final'!$Y$15="Alta",'Mapa final'!$AA$15="Leve"),CONCATENATE("R3C",'Mapa final'!$O$15),"")</f>
        <v/>
      </c>
      <c r="K18" s="65" t="str">
        <f ca="1">IF(AND('Mapa final'!$Y$16="Alta",'Mapa final'!$AA$16="Leve"),CONCATENATE("R3C",'Mapa final'!$O$16),"")</f>
        <v/>
      </c>
      <c r="L18" s="65" t="e">
        <f>IF(AND('Mapa final'!#REF!="Alta",'Mapa final'!#REF!="Leve"),CONCATENATE("R3C",'Mapa final'!#REF!),"")</f>
        <v>#REF!</v>
      </c>
      <c r="M18" s="65" t="e">
        <f>IF(AND('Mapa final'!#REF!="Alta",'Mapa final'!#REF!="Leve"),CONCATENATE("R3C",'Mapa final'!#REF!),"")</f>
        <v>#REF!</v>
      </c>
      <c r="N18" s="65" t="e">
        <f>IF(AND('Mapa final'!#REF!="Alta",'Mapa final'!#REF!="Leve"),CONCATENATE("R3C",'Mapa final'!#REF!),"")</f>
        <v>#REF!</v>
      </c>
      <c r="O18" s="66" t="e">
        <f>IF(AND('Mapa final'!#REF!="Alta",'Mapa final'!#REF!="Leve"),CONCATENATE("R3C",'Mapa final'!#REF!),"")</f>
        <v>#REF!</v>
      </c>
      <c r="P18" s="64" t="str">
        <f ca="1">IF(AND('Mapa final'!$Y$15="Alta",'Mapa final'!$AA$15="Menor"),CONCATENATE("R3C",'Mapa final'!$O$15),"")</f>
        <v/>
      </c>
      <c r="Q18" s="65" t="str">
        <f ca="1">IF(AND('Mapa final'!$Y$16="Alta",'Mapa final'!$AA$16="Menor"),CONCATENATE("R3C",'Mapa final'!$O$16),"")</f>
        <v/>
      </c>
      <c r="R18" s="65" t="e">
        <f>IF(AND('Mapa final'!#REF!="Alta",'Mapa final'!#REF!="Menor"),CONCATENATE("R3C",'Mapa final'!#REF!),"")</f>
        <v>#REF!</v>
      </c>
      <c r="S18" s="65" t="e">
        <f>IF(AND('Mapa final'!#REF!="Alta",'Mapa final'!#REF!="Menor"),CONCATENATE("R3C",'Mapa final'!#REF!),"")</f>
        <v>#REF!</v>
      </c>
      <c r="T18" s="65" t="e">
        <f>IF(AND('Mapa final'!#REF!="Alta",'Mapa final'!#REF!="Menor"),CONCATENATE("R3C",'Mapa final'!#REF!),"")</f>
        <v>#REF!</v>
      </c>
      <c r="U18" s="66" t="e">
        <f>IF(AND('Mapa final'!#REF!="Alta",'Mapa final'!#REF!="Menor"),CONCATENATE("R3C",'Mapa final'!#REF!),"")</f>
        <v>#REF!</v>
      </c>
      <c r="V18" s="48" t="str">
        <f ca="1">IF(AND('Mapa final'!$Y$15="Alta",'Mapa final'!$AA$15="Moderado"),CONCATENATE("R3C",'Mapa final'!$O$15),"")</f>
        <v/>
      </c>
      <c r="W18" s="49" t="str">
        <f ca="1">IF(AND('Mapa final'!$Y$16="Alta",'Mapa final'!$AA$16="Moderado"),CONCATENATE("R3C",'Mapa final'!$O$16),"")</f>
        <v/>
      </c>
      <c r="X18" s="49" t="e">
        <f>IF(AND('Mapa final'!#REF!="Alta",'Mapa final'!#REF!="Moderado"),CONCATENATE("R3C",'Mapa final'!#REF!),"")</f>
        <v>#REF!</v>
      </c>
      <c r="Y18" s="49" t="e">
        <f>IF(AND('Mapa final'!#REF!="Alta",'Mapa final'!#REF!="Moderado"),CONCATENATE("R3C",'Mapa final'!#REF!),"")</f>
        <v>#REF!</v>
      </c>
      <c r="Z18" s="49" t="e">
        <f>IF(AND('Mapa final'!#REF!="Alta",'Mapa final'!#REF!="Moderado"),CONCATENATE("R3C",'Mapa final'!#REF!),"")</f>
        <v>#REF!</v>
      </c>
      <c r="AA18" s="50" t="e">
        <f>IF(AND('Mapa final'!#REF!="Alta",'Mapa final'!#REF!="Moderado"),CONCATENATE("R3C",'Mapa final'!#REF!),"")</f>
        <v>#REF!</v>
      </c>
      <c r="AB18" s="48" t="str">
        <f ca="1">IF(AND('Mapa final'!$Y$15="Alta",'Mapa final'!$AA$15="Mayor"),CONCATENATE("R3C",'Mapa final'!$O$15),"")</f>
        <v/>
      </c>
      <c r="AC18" s="49" t="str">
        <f ca="1">IF(AND('Mapa final'!$Y$16="Alta",'Mapa final'!$AA$16="Mayor"),CONCATENATE("R3C",'Mapa final'!$O$16),"")</f>
        <v/>
      </c>
      <c r="AD18" s="49" t="e">
        <f>IF(AND('Mapa final'!#REF!="Alta",'Mapa final'!#REF!="Mayor"),CONCATENATE("R3C",'Mapa final'!#REF!),"")</f>
        <v>#REF!</v>
      </c>
      <c r="AE18" s="49" t="e">
        <f>IF(AND('Mapa final'!#REF!="Alta",'Mapa final'!#REF!="Mayor"),CONCATENATE("R3C",'Mapa final'!#REF!),"")</f>
        <v>#REF!</v>
      </c>
      <c r="AF18" s="49" t="e">
        <f>IF(AND('Mapa final'!#REF!="Alta",'Mapa final'!#REF!="Mayor"),CONCATENATE("R3C",'Mapa final'!#REF!),"")</f>
        <v>#REF!</v>
      </c>
      <c r="AG18" s="50" t="e">
        <f>IF(AND('Mapa final'!#REF!="Alta",'Mapa final'!#REF!="Mayor"),CONCATENATE("R3C",'Mapa final'!#REF!),"")</f>
        <v>#REF!</v>
      </c>
      <c r="AH18" s="51" t="str">
        <f ca="1">IF(AND('Mapa final'!$Y$15="Alta",'Mapa final'!$AA$15="Catastrófico"),CONCATENATE("R3C",'Mapa final'!$O$15),"")</f>
        <v/>
      </c>
      <c r="AI18" s="52" t="str">
        <f ca="1">IF(AND('Mapa final'!$Y$16="Alta",'Mapa final'!$AA$16="Catastrófico"),CONCATENATE("R3C",'Mapa final'!$O$16),"")</f>
        <v/>
      </c>
      <c r="AJ18" s="52" t="e">
        <f>IF(AND('Mapa final'!#REF!="Alta",'Mapa final'!#REF!="Catastrófico"),CONCATENATE("R3C",'Mapa final'!#REF!),"")</f>
        <v>#REF!</v>
      </c>
      <c r="AK18" s="52" t="e">
        <f>IF(AND('Mapa final'!#REF!="Alta",'Mapa final'!#REF!="Catastrófico"),CONCATENATE("R3C",'Mapa final'!#REF!),"")</f>
        <v>#REF!</v>
      </c>
      <c r="AL18" s="52" t="e">
        <f>IF(AND('Mapa final'!#REF!="Alta",'Mapa final'!#REF!="Catastrófico"),CONCATENATE("R3C",'Mapa final'!#REF!),"")</f>
        <v>#REF!</v>
      </c>
      <c r="AM18" s="53" t="e">
        <f>IF(AND('Mapa final'!#REF!="Alta",'Mapa final'!#REF!="Catastrófico"),CONCATENATE("R3C",'Mapa final'!#REF!),"")</f>
        <v>#REF!</v>
      </c>
      <c r="AN18" s="80"/>
      <c r="AO18" s="312"/>
      <c r="AP18" s="313"/>
      <c r="AQ18" s="313"/>
      <c r="AR18" s="313"/>
      <c r="AS18" s="313"/>
      <c r="AT18" s="314"/>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row>
    <row r="19" spans="1:76" ht="15" customHeight="1" x14ac:dyDescent="0.45">
      <c r="A19" s="80"/>
      <c r="B19" s="261"/>
      <c r="C19" s="261"/>
      <c r="D19" s="262"/>
      <c r="E19" s="302"/>
      <c r="F19" s="303"/>
      <c r="G19" s="303"/>
      <c r="H19" s="303"/>
      <c r="I19" s="319"/>
      <c r="J19" s="64" t="str">
        <f ca="1">IF(AND('Mapa final'!$Y$17="Alta",'Mapa final'!$AA$17="Leve"),CONCATENATE("R4C",'Mapa final'!$O$17),"")</f>
        <v/>
      </c>
      <c r="K19" s="65" t="e">
        <f>IF(AND('Mapa final'!#REF!="Alta",'Mapa final'!#REF!="Leve"),CONCATENATE("R4C",'Mapa final'!#REF!),"")</f>
        <v>#REF!</v>
      </c>
      <c r="L19" s="65" t="e">
        <f>IF(AND('Mapa final'!#REF!="Alta",'Mapa final'!#REF!="Leve"),CONCATENATE("R4C",'Mapa final'!#REF!),"")</f>
        <v>#REF!</v>
      </c>
      <c r="M19" s="65" t="e">
        <f>IF(AND('Mapa final'!#REF!="Alta",'Mapa final'!#REF!="Leve"),CONCATENATE("R4C",'Mapa final'!#REF!),"")</f>
        <v>#REF!</v>
      </c>
      <c r="N19" s="65" t="e">
        <f>IF(AND('Mapa final'!#REF!="Alta",'Mapa final'!#REF!="Leve"),CONCATENATE("R4C",'Mapa final'!#REF!),"")</f>
        <v>#REF!</v>
      </c>
      <c r="O19" s="66" t="e">
        <f>IF(AND('Mapa final'!#REF!="Alta",'Mapa final'!#REF!="Leve"),CONCATENATE("R4C",'Mapa final'!#REF!),"")</f>
        <v>#REF!</v>
      </c>
      <c r="P19" s="64" t="str">
        <f ca="1">IF(AND('Mapa final'!$Y$17="Alta",'Mapa final'!$AA$17="Menor"),CONCATENATE("R4C",'Mapa final'!$O$17),"")</f>
        <v/>
      </c>
      <c r="Q19" s="65" t="e">
        <f>IF(AND('Mapa final'!#REF!="Alta",'Mapa final'!#REF!="Menor"),CONCATENATE("R4C",'Mapa final'!#REF!),"")</f>
        <v>#REF!</v>
      </c>
      <c r="R19" s="65" t="e">
        <f>IF(AND('Mapa final'!#REF!="Alta",'Mapa final'!#REF!="Menor"),CONCATENATE("R4C",'Mapa final'!#REF!),"")</f>
        <v>#REF!</v>
      </c>
      <c r="S19" s="65" t="e">
        <f>IF(AND('Mapa final'!#REF!="Alta",'Mapa final'!#REF!="Menor"),CONCATENATE("R4C",'Mapa final'!#REF!),"")</f>
        <v>#REF!</v>
      </c>
      <c r="T19" s="65" t="e">
        <f>IF(AND('Mapa final'!#REF!="Alta",'Mapa final'!#REF!="Menor"),CONCATENATE("R4C",'Mapa final'!#REF!),"")</f>
        <v>#REF!</v>
      </c>
      <c r="U19" s="66" t="e">
        <f>IF(AND('Mapa final'!#REF!="Alta",'Mapa final'!#REF!="Menor"),CONCATENATE("R4C",'Mapa final'!#REF!),"")</f>
        <v>#REF!</v>
      </c>
      <c r="V19" s="48" t="str">
        <f ca="1">IF(AND('Mapa final'!$Y$17="Alta",'Mapa final'!$AA$17="Moderado"),CONCATENATE("R4C",'Mapa final'!$O$17),"")</f>
        <v/>
      </c>
      <c r="W19" s="49" t="e">
        <f>IF(AND('Mapa final'!#REF!="Alta",'Mapa final'!#REF!="Moderado"),CONCATENATE("R4C",'Mapa final'!#REF!),"")</f>
        <v>#REF!</v>
      </c>
      <c r="X19" s="54" t="e">
        <f>IF(AND('Mapa final'!#REF!="Alta",'Mapa final'!#REF!="Moderado"),CONCATENATE("R4C",'Mapa final'!#REF!),"")</f>
        <v>#REF!</v>
      </c>
      <c r="Y19" s="54" t="e">
        <f>IF(AND('Mapa final'!#REF!="Alta",'Mapa final'!#REF!="Moderado"),CONCATENATE("R4C",'Mapa final'!#REF!),"")</f>
        <v>#REF!</v>
      </c>
      <c r="Z19" s="54" t="e">
        <f>IF(AND('Mapa final'!#REF!="Alta",'Mapa final'!#REF!="Moderado"),CONCATENATE("R4C",'Mapa final'!#REF!),"")</f>
        <v>#REF!</v>
      </c>
      <c r="AA19" s="50" t="e">
        <f>IF(AND('Mapa final'!#REF!="Alta",'Mapa final'!#REF!="Moderado"),CONCATENATE("R4C",'Mapa final'!#REF!),"")</f>
        <v>#REF!</v>
      </c>
      <c r="AB19" s="48" t="str">
        <f ca="1">IF(AND('Mapa final'!$Y$17="Alta",'Mapa final'!$AA$17="Mayor"),CONCATENATE("R4C",'Mapa final'!$O$17),"")</f>
        <v/>
      </c>
      <c r="AC19" s="49" t="e">
        <f>IF(AND('Mapa final'!#REF!="Alta",'Mapa final'!#REF!="Mayor"),CONCATENATE("R4C",'Mapa final'!#REF!),"")</f>
        <v>#REF!</v>
      </c>
      <c r="AD19" s="54" t="e">
        <f>IF(AND('Mapa final'!#REF!="Alta",'Mapa final'!#REF!="Mayor"),CONCATENATE("R4C",'Mapa final'!#REF!),"")</f>
        <v>#REF!</v>
      </c>
      <c r="AE19" s="54" t="e">
        <f>IF(AND('Mapa final'!#REF!="Alta",'Mapa final'!#REF!="Mayor"),CONCATENATE("R4C",'Mapa final'!#REF!),"")</f>
        <v>#REF!</v>
      </c>
      <c r="AF19" s="54" t="e">
        <f>IF(AND('Mapa final'!#REF!="Alta",'Mapa final'!#REF!="Mayor"),CONCATENATE("R4C",'Mapa final'!#REF!),"")</f>
        <v>#REF!</v>
      </c>
      <c r="AG19" s="50" t="e">
        <f>IF(AND('Mapa final'!#REF!="Alta",'Mapa final'!#REF!="Mayor"),CONCATENATE("R4C",'Mapa final'!#REF!),"")</f>
        <v>#REF!</v>
      </c>
      <c r="AH19" s="51" t="str">
        <f ca="1">IF(AND('Mapa final'!$Y$17="Alta",'Mapa final'!$AA$17="Catastrófico"),CONCATENATE("R4C",'Mapa final'!$O$17),"")</f>
        <v/>
      </c>
      <c r="AI19" s="52" t="e">
        <f>IF(AND('Mapa final'!#REF!="Alta",'Mapa final'!#REF!="Catastrófico"),CONCATENATE("R4C",'Mapa final'!#REF!),"")</f>
        <v>#REF!</v>
      </c>
      <c r="AJ19" s="52" t="e">
        <f>IF(AND('Mapa final'!#REF!="Alta",'Mapa final'!#REF!="Catastrófico"),CONCATENATE("R4C",'Mapa final'!#REF!),"")</f>
        <v>#REF!</v>
      </c>
      <c r="AK19" s="52" t="e">
        <f>IF(AND('Mapa final'!#REF!="Alta",'Mapa final'!#REF!="Catastrófico"),CONCATENATE("R4C",'Mapa final'!#REF!),"")</f>
        <v>#REF!</v>
      </c>
      <c r="AL19" s="52" t="e">
        <f>IF(AND('Mapa final'!#REF!="Alta",'Mapa final'!#REF!="Catastrófico"),CONCATENATE("R4C",'Mapa final'!#REF!),"")</f>
        <v>#REF!</v>
      </c>
      <c r="AM19" s="53" t="e">
        <f>IF(AND('Mapa final'!#REF!="Alta",'Mapa final'!#REF!="Catastrófico"),CONCATENATE("R4C",'Mapa final'!#REF!),"")</f>
        <v>#REF!</v>
      </c>
      <c r="AN19" s="80"/>
      <c r="AO19" s="312"/>
      <c r="AP19" s="313"/>
      <c r="AQ19" s="313"/>
      <c r="AR19" s="313"/>
      <c r="AS19" s="313"/>
      <c r="AT19" s="314"/>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row>
    <row r="20" spans="1:76" ht="15" customHeight="1" x14ac:dyDescent="0.45">
      <c r="A20" s="80"/>
      <c r="B20" s="261"/>
      <c r="C20" s="261"/>
      <c r="D20" s="262"/>
      <c r="E20" s="302"/>
      <c r="F20" s="303"/>
      <c r="G20" s="303"/>
      <c r="H20" s="303"/>
      <c r="I20" s="319"/>
      <c r="J20" s="64" t="str">
        <f ca="1">IF(AND('Mapa final'!$Y$18="Alta",'Mapa final'!$AA$18="Leve"),CONCATENATE("R5C",'Mapa final'!$O$18),"")</f>
        <v/>
      </c>
      <c r="K20" s="65" t="str">
        <f ca="1">IF(AND('Mapa final'!$Y$19="Alta",'Mapa final'!$AA$19="Leve"),CONCATENATE("R5C",'Mapa final'!$O$19),"")</f>
        <v/>
      </c>
      <c r="L20" s="65" t="e">
        <f>IF(AND('Mapa final'!#REF!="Alta",'Mapa final'!#REF!="Leve"),CONCATENATE("R5C",'Mapa final'!#REF!),"")</f>
        <v>#REF!</v>
      </c>
      <c r="M20" s="65" t="e">
        <f>IF(AND('Mapa final'!#REF!="Alta",'Mapa final'!#REF!="Leve"),CONCATENATE("R5C",'Mapa final'!#REF!),"")</f>
        <v>#REF!</v>
      </c>
      <c r="N20" s="65" t="e">
        <f>IF(AND('Mapa final'!#REF!="Alta",'Mapa final'!#REF!="Leve"),CONCATENATE("R5C",'Mapa final'!#REF!),"")</f>
        <v>#REF!</v>
      </c>
      <c r="O20" s="66" t="e">
        <f>IF(AND('Mapa final'!#REF!="Alta",'Mapa final'!#REF!="Leve"),CONCATENATE("R5C",'Mapa final'!#REF!),"")</f>
        <v>#REF!</v>
      </c>
      <c r="P20" s="64" t="str">
        <f ca="1">IF(AND('Mapa final'!$Y$18="Alta",'Mapa final'!$AA$18="Menor"),CONCATENATE("R5C",'Mapa final'!$O$18),"")</f>
        <v/>
      </c>
      <c r="Q20" s="65" t="str">
        <f ca="1">IF(AND('Mapa final'!$Y$19="Alta",'Mapa final'!$AA$19="Menor"),CONCATENATE("R5C",'Mapa final'!$O$19),"")</f>
        <v/>
      </c>
      <c r="R20" s="65" t="e">
        <f>IF(AND('Mapa final'!#REF!="Alta",'Mapa final'!#REF!="Menor"),CONCATENATE("R5C",'Mapa final'!#REF!),"")</f>
        <v>#REF!</v>
      </c>
      <c r="S20" s="65" t="e">
        <f>IF(AND('Mapa final'!#REF!="Alta",'Mapa final'!#REF!="Menor"),CONCATENATE("R5C",'Mapa final'!#REF!),"")</f>
        <v>#REF!</v>
      </c>
      <c r="T20" s="65" t="e">
        <f>IF(AND('Mapa final'!#REF!="Alta",'Mapa final'!#REF!="Menor"),CONCATENATE("R5C",'Mapa final'!#REF!),"")</f>
        <v>#REF!</v>
      </c>
      <c r="U20" s="66" t="e">
        <f>IF(AND('Mapa final'!#REF!="Alta",'Mapa final'!#REF!="Menor"),CONCATENATE("R5C",'Mapa final'!#REF!),"")</f>
        <v>#REF!</v>
      </c>
      <c r="V20" s="48" t="str">
        <f ca="1">IF(AND('Mapa final'!$Y$18="Alta",'Mapa final'!$AA$18="Moderado"),CONCATENATE("R5C",'Mapa final'!$O$18),"")</f>
        <v/>
      </c>
      <c r="W20" s="49" t="str">
        <f ca="1">IF(AND('Mapa final'!$Y$19="Alta",'Mapa final'!$AA$19="Moderado"),CONCATENATE("R5C",'Mapa final'!$O$19),"")</f>
        <v/>
      </c>
      <c r="X20" s="54" t="e">
        <f>IF(AND('Mapa final'!#REF!="Alta",'Mapa final'!#REF!="Moderado"),CONCATENATE("R5C",'Mapa final'!#REF!),"")</f>
        <v>#REF!</v>
      </c>
      <c r="Y20" s="54" t="e">
        <f>IF(AND('Mapa final'!#REF!="Alta",'Mapa final'!#REF!="Moderado"),CONCATENATE("R5C",'Mapa final'!#REF!),"")</f>
        <v>#REF!</v>
      </c>
      <c r="Z20" s="54" t="e">
        <f>IF(AND('Mapa final'!#REF!="Alta",'Mapa final'!#REF!="Moderado"),CONCATENATE("R5C",'Mapa final'!#REF!),"")</f>
        <v>#REF!</v>
      </c>
      <c r="AA20" s="50" t="e">
        <f>IF(AND('Mapa final'!#REF!="Alta",'Mapa final'!#REF!="Moderado"),CONCATENATE("R5C",'Mapa final'!#REF!),"")</f>
        <v>#REF!</v>
      </c>
      <c r="AB20" s="48" t="str">
        <f ca="1">IF(AND('Mapa final'!$Y$18="Alta",'Mapa final'!$AA$18="Mayor"),CONCATENATE("R5C",'Mapa final'!$O$18),"")</f>
        <v/>
      </c>
      <c r="AC20" s="49" t="str">
        <f ca="1">IF(AND('Mapa final'!$Y$19="Alta",'Mapa final'!$AA$19="Mayor"),CONCATENATE("R5C",'Mapa final'!$O$19),"")</f>
        <v/>
      </c>
      <c r="AD20" s="54" t="e">
        <f>IF(AND('Mapa final'!#REF!="Alta",'Mapa final'!#REF!="Mayor"),CONCATENATE("R5C",'Mapa final'!#REF!),"")</f>
        <v>#REF!</v>
      </c>
      <c r="AE20" s="54" t="e">
        <f>IF(AND('Mapa final'!#REF!="Alta",'Mapa final'!#REF!="Mayor"),CONCATENATE("R5C",'Mapa final'!#REF!),"")</f>
        <v>#REF!</v>
      </c>
      <c r="AF20" s="54" t="e">
        <f>IF(AND('Mapa final'!#REF!="Alta",'Mapa final'!#REF!="Mayor"),CONCATENATE("R5C",'Mapa final'!#REF!),"")</f>
        <v>#REF!</v>
      </c>
      <c r="AG20" s="50" t="e">
        <f>IF(AND('Mapa final'!#REF!="Alta",'Mapa final'!#REF!="Mayor"),CONCATENATE("R5C",'Mapa final'!#REF!),"")</f>
        <v>#REF!</v>
      </c>
      <c r="AH20" s="51" t="str">
        <f ca="1">IF(AND('Mapa final'!$Y$18="Alta",'Mapa final'!$AA$18="Catastrófico"),CONCATENATE("R5C",'Mapa final'!$O$18),"")</f>
        <v/>
      </c>
      <c r="AI20" s="52" t="str">
        <f ca="1">IF(AND('Mapa final'!$Y$19="Alta",'Mapa final'!$AA$19="Catastrófico"),CONCATENATE("R5C",'Mapa final'!$O$19),"")</f>
        <v/>
      </c>
      <c r="AJ20" s="52" t="e">
        <f>IF(AND('Mapa final'!#REF!="Alta",'Mapa final'!#REF!="Catastrófico"),CONCATENATE("R5C",'Mapa final'!#REF!),"")</f>
        <v>#REF!</v>
      </c>
      <c r="AK20" s="52" t="e">
        <f>IF(AND('Mapa final'!#REF!="Alta",'Mapa final'!#REF!="Catastrófico"),CONCATENATE("R5C",'Mapa final'!#REF!),"")</f>
        <v>#REF!</v>
      </c>
      <c r="AL20" s="52" t="e">
        <f>IF(AND('Mapa final'!#REF!="Alta",'Mapa final'!#REF!="Catastrófico"),CONCATENATE("R5C",'Mapa final'!#REF!),"")</f>
        <v>#REF!</v>
      </c>
      <c r="AM20" s="53" t="e">
        <f>IF(AND('Mapa final'!#REF!="Alta",'Mapa final'!#REF!="Catastrófico"),CONCATENATE("R5C",'Mapa final'!#REF!),"")</f>
        <v>#REF!</v>
      </c>
      <c r="AN20" s="80"/>
      <c r="AO20" s="312"/>
      <c r="AP20" s="313"/>
      <c r="AQ20" s="313"/>
      <c r="AR20" s="313"/>
      <c r="AS20" s="313"/>
      <c r="AT20" s="314"/>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row>
    <row r="21" spans="1:76" ht="15" customHeight="1" x14ac:dyDescent="0.45">
      <c r="A21" s="80"/>
      <c r="B21" s="261"/>
      <c r="C21" s="261"/>
      <c r="D21" s="262"/>
      <c r="E21" s="302"/>
      <c r="F21" s="303"/>
      <c r="G21" s="303"/>
      <c r="H21" s="303"/>
      <c r="I21" s="319"/>
      <c r="J21" s="64" t="str">
        <f ca="1">IF(AND('Mapa final'!$Y$20="Alta",'Mapa final'!$AA$20="Leve"),CONCATENATE("R6C",'Mapa final'!$O$20),"")</f>
        <v/>
      </c>
      <c r="K21" s="65" t="e">
        <f>IF(AND('Mapa final'!#REF!="Alta",'Mapa final'!#REF!="Leve"),CONCATENATE("R6C",'Mapa final'!#REF!),"")</f>
        <v>#REF!</v>
      </c>
      <c r="L21" s="65" t="e">
        <f>IF(AND('Mapa final'!#REF!="Alta",'Mapa final'!#REF!="Leve"),CONCATENATE("R6C",'Mapa final'!#REF!),"")</f>
        <v>#REF!</v>
      </c>
      <c r="M21" s="65" t="e">
        <f>IF(AND('Mapa final'!#REF!="Alta",'Mapa final'!#REF!="Leve"),CONCATENATE("R6C",'Mapa final'!#REF!),"")</f>
        <v>#REF!</v>
      </c>
      <c r="N21" s="65" t="e">
        <f>IF(AND('Mapa final'!#REF!="Alta",'Mapa final'!#REF!="Leve"),CONCATENATE("R6C",'Mapa final'!#REF!),"")</f>
        <v>#REF!</v>
      </c>
      <c r="O21" s="66" t="e">
        <f>IF(AND('Mapa final'!#REF!="Alta",'Mapa final'!#REF!="Leve"),CONCATENATE("R6C",'Mapa final'!#REF!),"")</f>
        <v>#REF!</v>
      </c>
      <c r="P21" s="64" t="str">
        <f ca="1">IF(AND('Mapa final'!$Y$20="Alta",'Mapa final'!$AA$20="Menor"),CONCATENATE("R6C",'Mapa final'!$O$20),"")</f>
        <v/>
      </c>
      <c r="Q21" s="65" t="e">
        <f>IF(AND('Mapa final'!#REF!="Alta",'Mapa final'!#REF!="Menor"),CONCATENATE("R6C",'Mapa final'!#REF!),"")</f>
        <v>#REF!</v>
      </c>
      <c r="R21" s="65" t="e">
        <f>IF(AND('Mapa final'!#REF!="Alta",'Mapa final'!#REF!="Menor"),CONCATENATE("R6C",'Mapa final'!#REF!),"")</f>
        <v>#REF!</v>
      </c>
      <c r="S21" s="65" t="e">
        <f>IF(AND('Mapa final'!#REF!="Alta",'Mapa final'!#REF!="Menor"),CONCATENATE("R6C",'Mapa final'!#REF!),"")</f>
        <v>#REF!</v>
      </c>
      <c r="T21" s="65" t="e">
        <f>IF(AND('Mapa final'!#REF!="Alta",'Mapa final'!#REF!="Menor"),CONCATENATE("R6C",'Mapa final'!#REF!),"")</f>
        <v>#REF!</v>
      </c>
      <c r="U21" s="66" t="e">
        <f>IF(AND('Mapa final'!#REF!="Alta",'Mapa final'!#REF!="Menor"),CONCATENATE("R6C",'Mapa final'!#REF!),"")</f>
        <v>#REF!</v>
      </c>
      <c r="V21" s="48" t="str">
        <f ca="1">IF(AND('Mapa final'!$Y$20="Alta",'Mapa final'!$AA$20="Moderado"),CONCATENATE("R6C",'Mapa final'!$O$20),"")</f>
        <v/>
      </c>
      <c r="W21" s="49" t="e">
        <f>IF(AND('Mapa final'!#REF!="Alta",'Mapa final'!#REF!="Moderado"),CONCATENATE("R6C",'Mapa final'!#REF!),"")</f>
        <v>#REF!</v>
      </c>
      <c r="X21" s="54" t="e">
        <f>IF(AND('Mapa final'!#REF!="Alta",'Mapa final'!#REF!="Moderado"),CONCATENATE("R6C",'Mapa final'!#REF!),"")</f>
        <v>#REF!</v>
      </c>
      <c r="Y21" s="54" t="e">
        <f>IF(AND('Mapa final'!#REF!="Alta",'Mapa final'!#REF!="Moderado"),CONCATENATE("R6C",'Mapa final'!#REF!),"")</f>
        <v>#REF!</v>
      </c>
      <c r="Z21" s="54" t="e">
        <f>IF(AND('Mapa final'!#REF!="Alta",'Mapa final'!#REF!="Moderado"),CONCATENATE("R6C",'Mapa final'!#REF!),"")</f>
        <v>#REF!</v>
      </c>
      <c r="AA21" s="50" t="e">
        <f>IF(AND('Mapa final'!#REF!="Alta",'Mapa final'!#REF!="Moderado"),CONCATENATE("R6C",'Mapa final'!#REF!),"")</f>
        <v>#REF!</v>
      </c>
      <c r="AB21" s="48" t="str">
        <f ca="1">IF(AND('Mapa final'!$Y$20="Alta",'Mapa final'!$AA$20="Mayor"),CONCATENATE("R6C",'Mapa final'!$O$20),"")</f>
        <v/>
      </c>
      <c r="AC21" s="49" t="e">
        <f>IF(AND('Mapa final'!#REF!="Alta",'Mapa final'!#REF!="Mayor"),CONCATENATE("R6C",'Mapa final'!#REF!),"")</f>
        <v>#REF!</v>
      </c>
      <c r="AD21" s="54" t="e">
        <f>IF(AND('Mapa final'!#REF!="Alta",'Mapa final'!#REF!="Mayor"),CONCATENATE("R6C",'Mapa final'!#REF!),"")</f>
        <v>#REF!</v>
      </c>
      <c r="AE21" s="54" t="e">
        <f>IF(AND('Mapa final'!#REF!="Alta",'Mapa final'!#REF!="Mayor"),CONCATENATE("R6C",'Mapa final'!#REF!),"")</f>
        <v>#REF!</v>
      </c>
      <c r="AF21" s="54" t="e">
        <f>IF(AND('Mapa final'!#REF!="Alta",'Mapa final'!#REF!="Mayor"),CONCATENATE("R6C",'Mapa final'!#REF!),"")</f>
        <v>#REF!</v>
      </c>
      <c r="AG21" s="50" t="e">
        <f>IF(AND('Mapa final'!#REF!="Alta",'Mapa final'!#REF!="Mayor"),CONCATENATE("R6C",'Mapa final'!#REF!),"")</f>
        <v>#REF!</v>
      </c>
      <c r="AH21" s="51" t="str">
        <f ca="1">IF(AND('Mapa final'!$Y$20="Alta",'Mapa final'!$AA$20="Catastrófico"),CONCATENATE("R6C",'Mapa final'!$O$20),"")</f>
        <v/>
      </c>
      <c r="AI21" s="52" t="e">
        <f>IF(AND('Mapa final'!#REF!="Alta",'Mapa final'!#REF!="Catastrófico"),CONCATENATE("R6C",'Mapa final'!#REF!),"")</f>
        <v>#REF!</v>
      </c>
      <c r="AJ21" s="52" t="e">
        <f>IF(AND('Mapa final'!#REF!="Alta",'Mapa final'!#REF!="Catastrófico"),CONCATENATE("R6C",'Mapa final'!#REF!),"")</f>
        <v>#REF!</v>
      </c>
      <c r="AK21" s="52" t="e">
        <f>IF(AND('Mapa final'!#REF!="Alta",'Mapa final'!#REF!="Catastrófico"),CONCATENATE("R6C",'Mapa final'!#REF!),"")</f>
        <v>#REF!</v>
      </c>
      <c r="AL21" s="52" t="e">
        <f>IF(AND('Mapa final'!#REF!="Alta",'Mapa final'!#REF!="Catastrófico"),CONCATENATE("R6C",'Mapa final'!#REF!),"")</f>
        <v>#REF!</v>
      </c>
      <c r="AM21" s="53" t="e">
        <f>IF(AND('Mapa final'!#REF!="Alta",'Mapa final'!#REF!="Catastrófico"),CONCATENATE("R6C",'Mapa final'!#REF!),"")</f>
        <v>#REF!</v>
      </c>
      <c r="AN21" s="80"/>
      <c r="AO21" s="312"/>
      <c r="AP21" s="313"/>
      <c r="AQ21" s="313"/>
      <c r="AR21" s="313"/>
      <c r="AS21" s="313"/>
      <c r="AT21" s="314"/>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row>
    <row r="22" spans="1:76" ht="15" customHeight="1" x14ac:dyDescent="0.45">
      <c r="A22" s="80"/>
      <c r="B22" s="261"/>
      <c r="C22" s="261"/>
      <c r="D22" s="262"/>
      <c r="E22" s="302"/>
      <c r="F22" s="303"/>
      <c r="G22" s="303"/>
      <c r="H22" s="303"/>
      <c r="I22" s="319"/>
      <c r="J22" s="64" t="str">
        <f ca="1">IF(AND('Mapa final'!$Y$21="Alta",'Mapa final'!$AA$21="Leve"),CONCATENATE("R7C",'Mapa final'!$O$21),"")</f>
        <v/>
      </c>
      <c r="K22" s="65" t="str">
        <f ca="1">IF(AND('Mapa final'!$Y$22="Alta",'Mapa final'!$AA$22="Leve"),CONCATENATE("R7C",'Mapa final'!$O$22),"")</f>
        <v/>
      </c>
      <c r="L22" s="65" t="str">
        <f ca="1">IF(AND('Mapa final'!$Y$23="Alta",'Mapa final'!$AA$23="Leve"),CONCATENATE("R7C",'Mapa final'!$O$23),"")</f>
        <v/>
      </c>
      <c r="M22" s="65" t="e">
        <f>IF(AND('Mapa final'!#REF!="Alta",'Mapa final'!#REF!="Leve"),CONCATENATE("R7C",'Mapa final'!#REF!),"")</f>
        <v>#REF!</v>
      </c>
      <c r="N22" s="65" t="e">
        <f>IF(AND('Mapa final'!#REF!="Alta",'Mapa final'!#REF!="Leve"),CONCATENATE("R7C",'Mapa final'!#REF!),"")</f>
        <v>#REF!</v>
      </c>
      <c r="O22" s="66" t="e">
        <f>IF(AND('Mapa final'!#REF!="Alta",'Mapa final'!#REF!="Leve"),CONCATENATE("R7C",'Mapa final'!#REF!),"")</f>
        <v>#REF!</v>
      </c>
      <c r="P22" s="64" t="str">
        <f ca="1">IF(AND('Mapa final'!$Y$21="Alta",'Mapa final'!$AA$21="Menor"),CONCATENATE("R7C",'Mapa final'!$O$21),"")</f>
        <v/>
      </c>
      <c r="Q22" s="65" t="str">
        <f ca="1">IF(AND('Mapa final'!$Y$22="Alta",'Mapa final'!$AA$22="Menor"),CONCATENATE("R7C",'Mapa final'!$O$22),"")</f>
        <v/>
      </c>
      <c r="R22" s="65" t="str">
        <f ca="1">IF(AND('Mapa final'!$Y$23="Alta",'Mapa final'!$AA$23="Menor"),CONCATENATE("R7C",'Mapa final'!$O$23),"")</f>
        <v/>
      </c>
      <c r="S22" s="65" t="e">
        <f>IF(AND('Mapa final'!#REF!="Alta",'Mapa final'!#REF!="Menor"),CONCATENATE("R7C",'Mapa final'!#REF!),"")</f>
        <v>#REF!</v>
      </c>
      <c r="T22" s="65" t="e">
        <f>IF(AND('Mapa final'!#REF!="Alta",'Mapa final'!#REF!="Menor"),CONCATENATE("R7C",'Mapa final'!#REF!),"")</f>
        <v>#REF!</v>
      </c>
      <c r="U22" s="66" t="e">
        <f>IF(AND('Mapa final'!#REF!="Alta",'Mapa final'!#REF!="Menor"),CONCATENATE("R7C",'Mapa final'!#REF!),"")</f>
        <v>#REF!</v>
      </c>
      <c r="V22" s="48" t="str">
        <f ca="1">IF(AND('Mapa final'!$Y$21="Alta",'Mapa final'!$AA$21="Moderado"),CONCATENATE("R7C",'Mapa final'!$O$21),"")</f>
        <v/>
      </c>
      <c r="W22" s="49" t="str">
        <f ca="1">IF(AND('Mapa final'!$Y$22="Alta",'Mapa final'!$AA$22="Moderado"),CONCATENATE("R7C",'Mapa final'!$O$22),"")</f>
        <v/>
      </c>
      <c r="X22" s="54" t="str">
        <f ca="1">IF(AND('Mapa final'!$Y$23="Alta",'Mapa final'!$AA$23="Moderado"),CONCATENATE("R7C",'Mapa final'!$O$23),"")</f>
        <v/>
      </c>
      <c r="Y22" s="54" t="e">
        <f>IF(AND('Mapa final'!#REF!="Alta",'Mapa final'!#REF!="Moderado"),CONCATENATE("R7C",'Mapa final'!#REF!),"")</f>
        <v>#REF!</v>
      </c>
      <c r="Z22" s="54" t="e">
        <f>IF(AND('Mapa final'!#REF!="Alta",'Mapa final'!#REF!="Moderado"),CONCATENATE("R7C",'Mapa final'!#REF!),"")</f>
        <v>#REF!</v>
      </c>
      <c r="AA22" s="50" t="e">
        <f>IF(AND('Mapa final'!#REF!="Alta",'Mapa final'!#REF!="Moderado"),CONCATENATE("R7C",'Mapa final'!#REF!),"")</f>
        <v>#REF!</v>
      </c>
      <c r="AB22" s="48" t="str">
        <f ca="1">IF(AND('Mapa final'!$Y$21="Alta",'Mapa final'!$AA$21="Mayor"),CONCATENATE("R7C",'Mapa final'!$O$21),"")</f>
        <v/>
      </c>
      <c r="AC22" s="49" t="str">
        <f ca="1">IF(AND('Mapa final'!$Y$22="Alta",'Mapa final'!$AA$22="Mayor"),CONCATENATE("R7C",'Mapa final'!$O$22),"")</f>
        <v/>
      </c>
      <c r="AD22" s="54" t="str">
        <f ca="1">IF(AND('Mapa final'!$Y$23="Alta",'Mapa final'!$AA$23="Mayor"),CONCATENATE("R7C",'Mapa final'!$O$23),"")</f>
        <v/>
      </c>
      <c r="AE22" s="54" t="e">
        <f>IF(AND('Mapa final'!#REF!="Alta",'Mapa final'!#REF!="Mayor"),CONCATENATE("R7C",'Mapa final'!#REF!),"")</f>
        <v>#REF!</v>
      </c>
      <c r="AF22" s="54" t="e">
        <f>IF(AND('Mapa final'!#REF!="Alta",'Mapa final'!#REF!="Mayor"),CONCATENATE("R7C",'Mapa final'!#REF!),"")</f>
        <v>#REF!</v>
      </c>
      <c r="AG22" s="50" t="e">
        <f>IF(AND('Mapa final'!#REF!="Alta",'Mapa final'!#REF!="Mayor"),CONCATENATE("R7C",'Mapa final'!#REF!),"")</f>
        <v>#REF!</v>
      </c>
      <c r="AH22" s="51" t="str">
        <f ca="1">IF(AND('Mapa final'!$Y$21="Alta",'Mapa final'!$AA$21="Catastrófico"),CONCATENATE("R7C",'Mapa final'!$O$21),"")</f>
        <v/>
      </c>
      <c r="AI22" s="52" t="str">
        <f ca="1">IF(AND('Mapa final'!$Y$22="Alta",'Mapa final'!$AA$22="Catastrófico"),CONCATENATE("R7C",'Mapa final'!$O$22),"")</f>
        <v/>
      </c>
      <c r="AJ22" s="52" t="str">
        <f ca="1">IF(AND('Mapa final'!$Y$23="Alta",'Mapa final'!$AA$23="Catastrófico"),CONCATENATE("R7C",'Mapa final'!$O$23),"")</f>
        <v/>
      </c>
      <c r="AK22" s="52" t="e">
        <f>IF(AND('Mapa final'!#REF!="Alta",'Mapa final'!#REF!="Catastrófico"),CONCATENATE("R7C",'Mapa final'!#REF!),"")</f>
        <v>#REF!</v>
      </c>
      <c r="AL22" s="52" t="e">
        <f>IF(AND('Mapa final'!#REF!="Alta",'Mapa final'!#REF!="Catastrófico"),CONCATENATE("R7C",'Mapa final'!#REF!),"")</f>
        <v>#REF!</v>
      </c>
      <c r="AM22" s="53" t="e">
        <f>IF(AND('Mapa final'!#REF!="Alta",'Mapa final'!#REF!="Catastrófico"),CONCATENATE("R7C",'Mapa final'!#REF!),"")</f>
        <v>#REF!</v>
      </c>
      <c r="AN22" s="80"/>
      <c r="AO22" s="312"/>
      <c r="AP22" s="313"/>
      <c r="AQ22" s="313"/>
      <c r="AR22" s="313"/>
      <c r="AS22" s="313"/>
      <c r="AT22" s="314"/>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row>
    <row r="23" spans="1:76" ht="15" customHeight="1" x14ac:dyDescent="0.45">
      <c r="A23" s="80"/>
      <c r="B23" s="261"/>
      <c r="C23" s="261"/>
      <c r="D23" s="262"/>
      <c r="E23" s="302"/>
      <c r="F23" s="303"/>
      <c r="G23" s="303"/>
      <c r="H23" s="303"/>
      <c r="I23" s="319"/>
      <c r="J23" s="64" t="str">
        <f ca="1">IF(AND('Mapa final'!$Y$24="Alta",'Mapa final'!$AA$24="Leve"),CONCATENATE("R8C",'Mapa final'!$O$24),"")</f>
        <v/>
      </c>
      <c r="K23" s="65" t="e">
        <f>IF(AND('Mapa final'!#REF!="Alta",'Mapa final'!#REF!="Leve"),CONCATENATE("R8C",'Mapa final'!#REF!),"")</f>
        <v>#REF!</v>
      </c>
      <c r="L23" s="65" t="e">
        <f>IF(AND('Mapa final'!#REF!="Alta",'Mapa final'!#REF!="Leve"),CONCATENATE("R8C",'Mapa final'!#REF!),"")</f>
        <v>#REF!</v>
      </c>
      <c r="M23" s="65" t="e">
        <f>IF(AND('Mapa final'!#REF!="Alta",'Mapa final'!#REF!="Leve"),CONCATENATE("R8C",'Mapa final'!#REF!),"")</f>
        <v>#REF!</v>
      </c>
      <c r="N23" s="65" t="e">
        <f>IF(AND('Mapa final'!#REF!="Alta",'Mapa final'!#REF!="Leve"),CONCATENATE("R8C",'Mapa final'!#REF!),"")</f>
        <v>#REF!</v>
      </c>
      <c r="O23" s="66" t="e">
        <f>IF(AND('Mapa final'!#REF!="Alta",'Mapa final'!#REF!="Leve"),CONCATENATE("R8C",'Mapa final'!#REF!),"")</f>
        <v>#REF!</v>
      </c>
      <c r="P23" s="64" t="str">
        <f ca="1">IF(AND('Mapa final'!$Y$24="Alta",'Mapa final'!$AA$24="Menor"),CONCATENATE("R8C",'Mapa final'!$O$24),"")</f>
        <v/>
      </c>
      <c r="Q23" s="65" t="e">
        <f>IF(AND('Mapa final'!#REF!="Alta",'Mapa final'!#REF!="Menor"),CONCATENATE("R8C",'Mapa final'!#REF!),"")</f>
        <v>#REF!</v>
      </c>
      <c r="R23" s="65" t="e">
        <f>IF(AND('Mapa final'!#REF!="Alta",'Mapa final'!#REF!="Menor"),CONCATENATE("R8C",'Mapa final'!#REF!),"")</f>
        <v>#REF!</v>
      </c>
      <c r="S23" s="65" t="e">
        <f>IF(AND('Mapa final'!#REF!="Alta",'Mapa final'!#REF!="Menor"),CONCATENATE("R8C",'Mapa final'!#REF!),"")</f>
        <v>#REF!</v>
      </c>
      <c r="T23" s="65" t="e">
        <f>IF(AND('Mapa final'!#REF!="Alta",'Mapa final'!#REF!="Menor"),CONCATENATE("R8C",'Mapa final'!#REF!),"")</f>
        <v>#REF!</v>
      </c>
      <c r="U23" s="66" t="e">
        <f>IF(AND('Mapa final'!#REF!="Alta",'Mapa final'!#REF!="Menor"),CONCATENATE("R8C",'Mapa final'!#REF!),"")</f>
        <v>#REF!</v>
      </c>
      <c r="V23" s="48" t="str">
        <f ca="1">IF(AND('Mapa final'!$Y$24="Alta",'Mapa final'!$AA$24="Moderado"),CONCATENATE("R8C",'Mapa final'!$O$24),"")</f>
        <v/>
      </c>
      <c r="W23" s="49" t="e">
        <f>IF(AND('Mapa final'!#REF!="Alta",'Mapa final'!#REF!="Moderado"),CONCATENATE("R8C",'Mapa final'!#REF!),"")</f>
        <v>#REF!</v>
      </c>
      <c r="X23" s="54" t="e">
        <f>IF(AND('Mapa final'!#REF!="Alta",'Mapa final'!#REF!="Moderado"),CONCATENATE("R8C",'Mapa final'!#REF!),"")</f>
        <v>#REF!</v>
      </c>
      <c r="Y23" s="54" t="e">
        <f>IF(AND('Mapa final'!#REF!="Alta",'Mapa final'!#REF!="Moderado"),CONCATENATE("R8C",'Mapa final'!#REF!),"")</f>
        <v>#REF!</v>
      </c>
      <c r="Z23" s="54" t="e">
        <f>IF(AND('Mapa final'!#REF!="Alta",'Mapa final'!#REF!="Moderado"),CONCATENATE("R8C",'Mapa final'!#REF!),"")</f>
        <v>#REF!</v>
      </c>
      <c r="AA23" s="50" t="e">
        <f>IF(AND('Mapa final'!#REF!="Alta",'Mapa final'!#REF!="Moderado"),CONCATENATE("R8C",'Mapa final'!#REF!),"")</f>
        <v>#REF!</v>
      </c>
      <c r="AB23" s="48" t="str">
        <f ca="1">IF(AND('Mapa final'!$Y$24="Alta",'Mapa final'!$AA$24="Mayor"),CONCATENATE("R8C",'Mapa final'!$O$24),"")</f>
        <v/>
      </c>
      <c r="AC23" s="49" t="e">
        <f>IF(AND('Mapa final'!#REF!="Alta",'Mapa final'!#REF!="Mayor"),CONCATENATE("R8C",'Mapa final'!#REF!),"")</f>
        <v>#REF!</v>
      </c>
      <c r="AD23" s="54" t="e">
        <f>IF(AND('Mapa final'!#REF!="Alta",'Mapa final'!#REF!="Mayor"),CONCATENATE("R8C",'Mapa final'!#REF!),"")</f>
        <v>#REF!</v>
      </c>
      <c r="AE23" s="54" t="e">
        <f>IF(AND('Mapa final'!#REF!="Alta",'Mapa final'!#REF!="Mayor"),CONCATENATE("R8C",'Mapa final'!#REF!),"")</f>
        <v>#REF!</v>
      </c>
      <c r="AF23" s="54" t="e">
        <f>IF(AND('Mapa final'!#REF!="Alta",'Mapa final'!#REF!="Mayor"),CONCATENATE("R8C",'Mapa final'!#REF!),"")</f>
        <v>#REF!</v>
      </c>
      <c r="AG23" s="50" t="e">
        <f>IF(AND('Mapa final'!#REF!="Alta",'Mapa final'!#REF!="Mayor"),CONCATENATE("R8C",'Mapa final'!#REF!),"")</f>
        <v>#REF!</v>
      </c>
      <c r="AH23" s="51" t="str">
        <f ca="1">IF(AND('Mapa final'!$Y$24="Alta",'Mapa final'!$AA$24="Catastrófico"),CONCATENATE("R8C",'Mapa final'!$O$24),"")</f>
        <v/>
      </c>
      <c r="AI23" s="52" t="e">
        <f>IF(AND('Mapa final'!#REF!="Alta",'Mapa final'!#REF!="Catastrófico"),CONCATENATE("R8C",'Mapa final'!#REF!),"")</f>
        <v>#REF!</v>
      </c>
      <c r="AJ23" s="52" t="e">
        <f>IF(AND('Mapa final'!#REF!="Alta",'Mapa final'!#REF!="Catastrófico"),CONCATENATE("R8C",'Mapa final'!#REF!),"")</f>
        <v>#REF!</v>
      </c>
      <c r="AK23" s="52" t="e">
        <f>IF(AND('Mapa final'!#REF!="Alta",'Mapa final'!#REF!="Catastrófico"),CONCATENATE("R8C",'Mapa final'!#REF!),"")</f>
        <v>#REF!</v>
      </c>
      <c r="AL23" s="52" t="e">
        <f>IF(AND('Mapa final'!#REF!="Alta",'Mapa final'!#REF!="Catastrófico"),CONCATENATE("R8C",'Mapa final'!#REF!),"")</f>
        <v>#REF!</v>
      </c>
      <c r="AM23" s="53" t="e">
        <f>IF(AND('Mapa final'!#REF!="Alta",'Mapa final'!#REF!="Catastrófico"),CONCATENATE("R8C",'Mapa final'!#REF!),"")</f>
        <v>#REF!</v>
      </c>
      <c r="AN23" s="80"/>
      <c r="AO23" s="312"/>
      <c r="AP23" s="313"/>
      <c r="AQ23" s="313"/>
      <c r="AR23" s="313"/>
      <c r="AS23" s="313"/>
      <c r="AT23" s="314"/>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row>
    <row r="24" spans="1:76" ht="15" customHeight="1" x14ac:dyDescent="0.45">
      <c r="A24" s="80"/>
      <c r="B24" s="261"/>
      <c r="C24" s="261"/>
      <c r="D24" s="262"/>
      <c r="E24" s="302"/>
      <c r="F24" s="303"/>
      <c r="G24" s="303"/>
      <c r="H24" s="303"/>
      <c r="I24" s="319"/>
      <c r="J24" s="64" t="e">
        <f>IF(AND('Mapa final'!#REF!="Alta",'Mapa final'!#REF!="Leve"),CONCATENATE("R9C",'Mapa final'!#REF!),"")</f>
        <v>#REF!</v>
      </c>
      <c r="K24" s="65" t="e">
        <f>IF(AND('Mapa final'!#REF!="Alta",'Mapa final'!#REF!="Leve"),CONCATENATE("R9C",'Mapa final'!#REF!),"")</f>
        <v>#REF!</v>
      </c>
      <c r="L24" s="65" t="e">
        <f>IF(AND('Mapa final'!#REF!="Alta",'Mapa final'!#REF!="Leve"),CONCATENATE("R9C",'Mapa final'!#REF!),"")</f>
        <v>#REF!</v>
      </c>
      <c r="M24" s="65" t="e">
        <f>IF(AND('Mapa final'!#REF!="Alta",'Mapa final'!#REF!="Leve"),CONCATENATE("R9C",'Mapa final'!#REF!),"")</f>
        <v>#REF!</v>
      </c>
      <c r="N24" s="65" t="e">
        <f>IF(AND('Mapa final'!#REF!="Alta",'Mapa final'!#REF!="Leve"),CONCATENATE("R9C",'Mapa final'!#REF!),"")</f>
        <v>#REF!</v>
      </c>
      <c r="O24" s="66" t="e">
        <f>IF(AND('Mapa final'!#REF!="Alta",'Mapa final'!#REF!="Leve"),CONCATENATE("R9C",'Mapa final'!#REF!),"")</f>
        <v>#REF!</v>
      </c>
      <c r="P24" s="64" t="e">
        <f>IF(AND('Mapa final'!#REF!="Alta",'Mapa final'!#REF!="Menor"),CONCATENATE("R9C",'Mapa final'!#REF!),"")</f>
        <v>#REF!</v>
      </c>
      <c r="Q24" s="65" t="e">
        <f>IF(AND('Mapa final'!#REF!="Alta",'Mapa final'!#REF!="Menor"),CONCATENATE("R9C",'Mapa final'!#REF!),"")</f>
        <v>#REF!</v>
      </c>
      <c r="R24" s="65" t="e">
        <f>IF(AND('Mapa final'!#REF!="Alta",'Mapa final'!#REF!="Menor"),CONCATENATE("R9C",'Mapa final'!#REF!),"")</f>
        <v>#REF!</v>
      </c>
      <c r="S24" s="65" t="e">
        <f>IF(AND('Mapa final'!#REF!="Alta",'Mapa final'!#REF!="Menor"),CONCATENATE("R9C",'Mapa final'!#REF!),"")</f>
        <v>#REF!</v>
      </c>
      <c r="T24" s="65" t="e">
        <f>IF(AND('Mapa final'!#REF!="Alta",'Mapa final'!#REF!="Menor"),CONCATENATE("R9C",'Mapa final'!#REF!),"")</f>
        <v>#REF!</v>
      </c>
      <c r="U24" s="66" t="e">
        <f>IF(AND('Mapa final'!#REF!="Alta",'Mapa final'!#REF!="Menor"),CONCATENATE("R9C",'Mapa final'!#REF!),"")</f>
        <v>#REF!</v>
      </c>
      <c r="V24" s="48" t="e">
        <f>IF(AND('Mapa final'!#REF!="Alta",'Mapa final'!#REF!="Moderado"),CONCATENATE("R9C",'Mapa final'!#REF!),"")</f>
        <v>#REF!</v>
      </c>
      <c r="W24" s="49" t="e">
        <f>IF(AND('Mapa final'!#REF!="Alta",'Mapa final'!#REF!="Moderado"),CONCATENATE("R9C",'Mapa final'!#REF!),"")</f>
        <v>#REF!</v>
      </c>
      <c r="X24" s="54" t="e">
        <f>IF(AND('Mapa final'!#REF!="Alta",'Mapa final'!#REF!="Moderado"),CONCATENATE("R9C",'Mapa final'!#REF!),"")</f>
        <v>#REF!</v>
      </c>
      <c r="Y24" s="54" t="e">
        <f>IF(AND('Mapa final'!#REF!="Alta",'Mapa final'!#REF!="Moderado"),CONCATENATE("R9C",'Mapa final'!#REF!),"")</f>
        <v>#REF!</v>
      </c>
      <c r="Z24" s="54" t="e">
        <f>IF(AND('Mapa final'!#REF!="Alta",'Mapa final'!#REF!="Moderado"),CONCATENATE("R9C",'Mapa final'!#REF!),"")</f>
        <v>#REF!</v>
      </c>
      <c r="AA24" s="50" t="e">
        <f>IF(AND('Mapa final'!#REF!="Alta",'Mapa final'!#REF!="Moderado"),CONCATENATE("R9C",'Mapa final'!#REF!),"")</f>
        <v>#REF!</v>
      </c>
      <c r="AB24" s="48" t="e">
        <f>IF(AND('Mapa final'!#REF!="Alta",'Mapa final'!#REF!="Mayor"),CONCATENATE("R9C",'Mapa final'!#REF!),"")</f>
        <v>#REF!</v>
      </c>
      <c r="AC24" s="49" t="e">
        <f>IF(AND('Mapa final'!#REF!="Alta",'Mapa final'!#REF!="Mayor"),CONCATENATE("R9C",'Mapa final'!#REF!),"")</f>
        <v>#REF!</v>
      </c>
      <c r="AD24" s="54" t="e">
        <f>IF(AND('Mapa final'!#REF!="Alta",'Mapa final'!#REF!="Mayor"),CONCATENATE("R9C",'Mapa final'!#REF!),"")</f>
        <v>#REF!</v>
      </c>
      <c r="AE24" s="54" t="e">
        <f>IF(AND('Mapa final'!#REF!="Alta",'Mapa final'!#REF!="Mayor"),CONCATENATE("R9C",'Mapa final'!#REF!),"")</f>
        <v>#REF!</v>
      </c>
      <c r="AF24" s="54" t="e">
        <f>IF(AND('Mapa final'!#REF!="Alta",'Mapa final'!#REF!="Mayor"),CONCATENATE("R9C",'Mapa final'!#REF!),"")</f>
        <v>#REF!</v>
      </c>
      <c r="AG24" s="50" t="e">
        <f>IF(AND('Mapa final'!#REF!="Alta",'Mapa final'!#REF!="Mayor"),CONCATENATE("R9C",'Mapa final'!#REF!),"")</f>
        <v>#REF!</v>
      </c>
      <c r="AH24" s="51" t="e">
        <f>IF(AND('Mapa final'!#REF!="Alta",'Mapa final'!#REF!="Catastrófico"),CONCATENATE("R9C",'Mapa final'!#REF!),"")</f>
        <v>#REF!</v>
      </c>
      <c r="AI24" s="52" t="e">
        <f>IF(AND('Mapa final'!#REF!="Alta",'Mapa final'!#REF!="Catastrófico"),CONCATENATE("R9C",'Mapa final'!#REF!),"")</f>
        <v>#REF!</v>
      </c>
      <c r="AJ24" s="52" t="e">
        <f>IF(AND('Mapa final'!#REF!="Alta",'Mapa final'!#REF!="Catastrófico"),CONCATENATE("R9C",'Mapa final'!#REF!),"")</f>
        <v>#REF!</v>
      </c>
      <c r="AK24" s="52" t="e">
        <f>IF(AND('Mapa final'!#REF!="Alta",'Mapa final'!#REF!="Catastrófico"),CONCATENATE("R9C",'Mapa final'!#REF!),"")</f>
        <v>#REF!</v>
      </c>
      <c r="AL24" s="52" t="e">
        <f>IF(AND('Mapa final'!#REF!="Alta",'Mapa final'!#REF!="Catastrófico"),CONCATENATE("R9C",'Mapa final'!#REF!),"")</f>
        <v>#REF!</v>
      </c>
      <c r="AM24" s="53" t="e">
        <f>IF(AND('Mapa final'!#REF!="Alta",'Mapa final'!#REF!="Catastrófico"),CONCATENATE("R9C",'Mapa final'!#REF!),"")</f>
        <v>#REF!</v>
      </c>
      <c r="AN24" s="80"/>
      <c r="AO24" s="312"/>
      <c r="AP24" s="313"/>
      <c r="AQ24" s="313"/>
      <c r="AR24" s="313"/>
      <c r="AS24" s="313"/>
      <c r="AT24" s="314"/>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row>
    <row r="25" spans="1:76" ht="15.75" customHeight="1" thickBot="1" x14ac:dyDescent="0.5">
      <c r="A25" s="80"/>
      <c r="B25" s="261"/>
      <c r="C25" s="261"/>
      <c r="D25" s="262"/>
      <c r="E25" s="305"/>
      <c r="F25" s="306"/>
      <c r="G25" s="306"/>
      <c r="H25" s="306"/>
      <c r="I25" s="306"/>
      <c r="J25" s="67" t="e">
        <f>IF(AND('Mapa final'!#REF!="Alta",'Mapa final'!#REF!="Leve"),CONCATENATE("R10C",'Mapa final'!#REF!),"")</f>
        <v>#REF!</v>
      </c>
      <c r="K25" s="68" t="e">
        <f>IF(AND('Mapa final'!#REF!="Alta",'Mapa final'!#REF!="Leve"),CONCATENATE("R10C",'Mapa final'!#REF!),"")</f>
        <v>#REF!</v>
      </c>
      <c r="L25" s="68" t="e">
        <f>IF(AND('Mapa final'!#REF!="Alta",'Mapa final'!#REF!="Leve"),CONCATENATE("R10C",'Mapa final'!#REF!),"")</f>
        <v>#REF!</v>
      </c>
      <c r="M25" s="68" t="e">
        <f>IF(AND('Mapa final'!#REF!="Alta",'Mapa final'!#REF!="Leve"),CONCATENATE("R10C",'Mapa final'!#REF!),"")</f>
        <v>#REF!</v>
      </c>
      <c r="N25" s="68" t="e">
        <f>IF(AND('Mapa final'!#REF!="Alta",'Mapa final'!#REF!="Leve"),CONCATENATE("R10C",'Mapa final'!#REF!),"")</f>
        <v>#REF!</v>
      </c>
      <c r="O25" s="69" t="e">
        <f>IF(AND('Mapa final'!#REF!="Alta",'Mapa final'!#REF!="Leve"),CONCATENATE("R10C",'Mapa final'!#REF!),"")</f>
        <v>#REF!</v>
      </c>
      <c r="P25" s="67" t="e">
        <f>IF(AND('Mapa final'!#REF!="Alta",'Mapa final'!#REF!="Menor"),CONCATENATE("R10C",'Mapa final'!#REF!),"")</f>
        <v>#REF!</v>
      </c>
      <c r="Q25" s="68" t="e">
        <f>IF(AND('Mapa final'!#REF!="Alta",'Mapa final'!#REF!="Menor"),CONCATENATE("R10C",'Mapa final'!#REF!),"")</f>
        <v>#REF!</v>
      </c>
      <c r="R25" s="68" t="e">
        <f>IF(AND('Mapa final'!#REF!="Alta",'Mapa final'!#REF!="Menor"),CONCATENATE("R10C",'Mapa final'!#REF!),"")</f>
        <v>#REF!</v>
      </c>
      <c r="S25" s="68" t="e">
        <f>IF(AND('Mapa final'!#REF!="Alta",'Mapa final'!#REF!="Menor"),CONCATENATE("R10C",'Mapa final'!#REF!),"")</f>
        <v>#REF!</v>
      </c>
      <c r="T25" s="68" t="e">
        <f>IF(AND('Mapa final'!#REF!="Alta",'Mapa final'!#REF!="Menor"),CONCATENATE("R10C",'Mapa final'!#REF!),"")</f>
        <v>#REF!</v>
      </c>
      <c r="U25" s="69" t="e">
        <f>IF(AND('Mapa final'!#REF!="Alta",'Mapa final'!#REF!="Menor"),CONCATENATE("R10C",'Mapa final'!#REF!),"")</f>
        <v>#REF!</v>
      </c>
      <c r="V25" s="55" t="e">
        <f>IF(AND('Mapa final'!#REF!="Alta",'Mapa final'!#REF!="Moderado"),CONCATENATE("R10C",'Mapa final'!#REF!),"")</f>
        <v>#REF!</v>
      </c>
      <c r="W25" s="56" t="e">
        <f>IF(AND('Mapa final'!#REF!="Alta",'Mapa final'!#REF!="Moderado"),CONCATENATE("R10C",'Mapa final'!#REF!),"")</f>
        <v>#REF!</v>
      </c>
      <c r="X25" s="56" t="e">
        <f>IF(AND('Mapa final'!#REF!="Alta",'Mapa final'!#REF!="Moderado"),CONCATENATE("R10C",'Mapa final'!#REF!),"")</f>
        <v>#REF!</v>
      </c>
      <c r="Y25" s="56" t="e">
        <f>IF(AND('Mapa final'!#REF!="Alta",'Mapa final'!#REF!="Moderado"),CONCATENATE("R10C",'Mapa final'!#REF!),"")</f>
        <v>#REF!</v>
      </c>
      <c r="Z25" s="56" t="e">
        <f>IF(AND('Mapa final'!#REF!="Alta",'Mapa final'!#REF!="Moderado"),CONCATENATE("R10C",'Mapa final'!#REF!),"")</f>
        <v>#REF!</v>
      </c>
      <c r="AA25" s="57" t="e">
        <f>IF(AND('Mapa final'!#REF!="Alta",'Mapa final'!#REF!="Moderado"),CONCATENATE("R10C",'Mapa final'!#REF!),"")</f>
        <v>#REF!</v>
      </c>
      <c r="AB25" s="55" t="e">
        <f>IF(AND('Mapa final'!#REF!="Alta",'Mapa final'!#REF!="Mayor"),CONCATENATE("R10C",'Mapa final'!#REF!),"")</f>
        <v>#REF!</v>
      </c>
      <c r="AC25" s="56" t="e">
        <f>IF(AND('Mapa final'!#REF!="Alta",'Mapa final'!#REF!="Mayor"),CONCATENATE("R10C",'Mapa final'!#REF!),"")</f>
        <v>#REF!</v>
      </c>
      <c r="AD25" s="56" t="e">
        <f>IF(AND('Mapa final'!#REF!="Alta",'Mapa final'!#REF!="Mayor"),CONCATENATE("R10C",'Mapa final'!#REF!),"")</f>
        <v>#REF!</v>
      </c>
      <c r="AE25" s="56" t="e">
        <f>IF(AND('Mapa final'!#REF!="Alta",'Mapa final'!#REF!="Mayor"),CONCATENATE("R10C",'Mapa final'!#REF!),"")</f>
        <v>#REF!</v>
      </c>
      <c r="AF25" s="56" t="e">
        <f>IF(AND('Mapa final'!#REF!="Alta",'Mapa final'!#REF!="Mayor"),CONCATENATE("R10C",'Mapa final'!#REF!),"")</f>
        <v>#REF!</v>
      </c>
      <c r="AG25" s="57" t="e">
        <f>IF(AND('Mapa final'!#REF!="Alta",'Mapa final'!#REF!="Mayor"),CONCATENATE("R10C",'Mapa final'!#REF!),"")</f>
        <v>#REF!</v>
      </c>
      <c r="AH25" s="58" t="e">
        <f>IF(AND('Mapa final'!#REF!="Alta",'Mapa final'!#REF!="Catastrófico"),CONCATENATE("R10C",'Mapa final'!#REF!),"")</f>
        <v>#REF!</v>
      </c>
      <c r="AI25" s="59" t="e">
        <f>IF(AND('Mapa final'!#REF!="Alta",'Mapa final'!#REF!="Catastrófico"),CONCATENATE("R10C",'Mapa final'!#REF!),"")</f>
        <v>#REF!</v>
      </c>
      <c r="AJ25" s="59" t="e">
        <f>IF(AND('Mapa final'!#REF!="Alta",'Mapa final'!#REF!="Catastrófico"),CONCATENATE("R10C",'Mapa final'!#REF!),"")</f>
        <v>#REF!</v>
      </c>
      <c r="AK25" s="59" t="e">
        <f>IF(AND('Mapa final'!#REF!="Alta",'Mapa final'!#REF!="Catastrófico"),CONCATENATE("R10C",'Mapa final'!#REF!),"")</f>
        <v>#REF!</v>
      </c>
      <c r="AL25" s="59" t="e">
        <f>IF(AND('Mapa final'!#REF!="Alta",'Mapa final'!#REF!="Catastrófico"),CONCATENATE("R10C",'Mapa final'!#REF!),"")</f>
        <v>#REF!</v>
      </c>
      <c r="AM25" s="60" t="e">
        <f>IF(AND('Mapa final'!#REF!="Alta",'Mapa final'!#REF!="Catastrófico"),CONCATENATE("R10C",'Mapa final'!#REF!),"")</f>
        <v>#REF!</v>
      </c>
      <c r="AN25" s="80"/>
      <c r="AO25" s="315"/>
      <c r="AP25" s="316"/>
      <c r="AQ25" s="316"/>
      <c r="AR25" s="316"/>
      <c r="AS25" s="316"/>
      <c r="AT25" s="317"/>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row>
    <row r="26" spans="1:76" ht="15" customHeight="1" x14ac:dyDescent="0.45">
      <c r="A26" s="80"/>
      <c r="B26" s="261"/>
      <c r="C26" s="261"/>
      <c r="D26" s="262"/>
      <c r="E26" s="299" t="s">
        <v>116</v>
      </c>
      <c r="F26" s="300"/>
      <c r="G26" s="300"/>
      <c r="H26" s="300"/>
      <c r="I26" s="301"/>
      <c r="J26" s="61" t="str">
        <f ca="1">IF(AND('Mapa final'!$Y$10="Media",'Mapa final'!$AA$10="Leve"),CONCATENATE("R1C",'Mapa final'!$O$10),"")</f>
        <v/>
      </c>
      <c r="K26" s="62" t="e">
        <f>IF(AND('Mapa final'!#REF!="Media",'Mapa final'!#REF!="Leve"),CONCATENATE("R1C",'Mapa final'!#REF!),"")</f>
        <v>#REF!</v>
      </c>
      <c r="L26" s="62" t="e">
        <f>IF(AND('Mapa final'!#REF!="Media",'Mapa final'!#REF!="Leve"),CONCATENATE("R1C",'Mapa final'!#REF!),"")</f>
        <v>#REF!</v>
      </c>
      <c r="M26" s="62" t="e">
        <f>IF(AND('Mapa final'!#REF!="Media",'Mapa final'!#REF!="Leve"),CONCATENATE("R1C",'Mapa final'!#REF!),"")</f>
        <v>#REF!</v>
      </c>
      <c r="N26" s="62" t="e">
        <f>IF(AND('Mapa final'!#REF!="Media",'Mapa final'!#REF!="Leve"),CONCATENATE("R1C",'Mapa final'!#REF!),"")</f>
        <v>#REF!</v>
      </c>
      <c r="O26" s="63" t="e">
        <f>IF(AND('Mapa final'!#REF!="Media",'Mapa final'!#REF!="Leve"),CONCATENATE("R1C",'Mapa final'!#REF!),"")</f>
        <v>#REF!</v>
      </c>
      <c r="P26" s="61" t="str">
        <f ca="1">IF(AND('Mapa final'!$Y$10="Media",'Mapa final'!$AA$10="Menor"),CONCATENATE("R1C",'Mapa final'!$O$10),"")</f>
        <v/>
      </c>
      <c r="Q26" s="62" t="e">
        <f>IF(AND('Mapa final'!#REF!="Media",'Mapa final'!#REF!="Menor"),CONCATENATE("R1C",'Mapa final'!#REF!),"")</f>
        <v>#REF!</v>
      </c>
      <c r="R26" s="62" t="e">
        <f>IF(AND('Mapa final'!#REF!="Media",'Mapa final'!#REF!="Menor"),CONCATENATE("R1C",'Mapa final'!#REF!),"")</f>
        <v>#REF!</v>
      </c>
      <c r="S26" s="62" t="e">
        <f>IF(AND('Mapa final'!#REF!="Media",'Mapa final'!#REF!="Menor"),CONCATENATE("R1C",'Mapa final'!#REF!),"")</f>
        <v>#REF!</v>
      </c>
      <c r="T26" s="62" t="e">
        <f>IF(AND('Mapa final'!#REF!="Media",'Mapa final'!#REF!="Menor"),CONCATENATE("R1C",'Mapa final'!#REF!),"")</f>
        <v>#REF!</v>
      </c>
      <c r="U26" s="63" t="e">
        <f>IF(AND('Mapa final'!#REF!="Media",'Mapa final'!#REF!="Menor"),CONCATENATE("R1C",'Mapa final'!#REF!),"")</f>
        <v>#REF!</v>
      </c>
      <c r="V26" s="61" t="str">
        <f ca="1">IF(AND('Mapa final'!$Y$10="Media",'Mapa final'!$AA$10="Moderado"),CONCATENATE("R1C",'Mapa final'!$O$10),"")</f>
        <v>R1C1</v>
      </c>
      <c r="W26" s="62" t="e">
        <f>IF(AND('Mapa final'!#REF!="Media",'Mapa final'!#REF!="Moderado"),CONCATENATE("R1C",'Mapa final'!#REF!),"")</f>
        <v>#REF!</v>
      </c>
      <c r="X26" s="62" t="e">
        <f>IF(AND('Mapa final'!#REF!="Media",'Mapa final'!#REF!="Moderado"),CONCATENATE("R1C",'Mapa final'!#REF!),"")</f>
        <v>#REF!</v>
      </c>
      <c r="Y26" s="62" t="e">
        <f>IF(AND('Mapa final'!#REF!="Media",'Mapa final'!#REF!="Moderado"),CONCATENATE("R1C",'Mapa final'!#REF!),"")</f>
        <v>#REF!</v>
      </c>
      <c r="Z26" s="62" t="e">
        <f>IF(AND('Mapa final'!#REF!="Media",'Mapa final'!#REF!="Moderado"),CONCATENATE("R1C",'Mapa final'!#REF!),"")</f>
        <v>#REF!</v>
      </c>
      <c r="AA26" s="63" t="e">
        <f>IF(AND('Mapa final'!#REF!="Media",'Mapa final'!#REF!="Moderado"),CONCATENATE("R1C",'Mapa final'!#REF!),"")</f>
        <v>#REF!</v>
      </c>
      <c r="AB26" s="42" t="str">
        <f ca="1">IF(AND('Mapa final'!$Y$10="Media",'Mapa final'!$AA$10="Mayor"),CONCATENATE("R1C",'Mapa final'!$O$10),"")</f>
        <v/>
      </c>
      <c r="AC26" s="43" t="e">
        <f>IF(AND('Mapa final'!#REF!="Media",'Mapa final'!#REF!="Mayor"),CONCATENATE("R1C",'Mapa final'!#REF!),"")</f>
        <v>#REF!</v>
      </c>
      <c r="AD26" s="43" t="e">
        <f>IF(AND('Mapa final'!#REF!="Media",'Mapa final'!#REF!="Mayor"),CONCATENATE("R1C",'Mapa final'!#REF!),"")</f>
        <v>#REF!</v>
      </c>
      <c r="AE26" s="43" t="e">
        <f>IF(AND('Mapa final'!#REF!="Media",'Mapa final'!#REF!="Mayor"),CONCATENATE("R1C",'Mapa final'!#REF!),"")</f>
        <v>#REF!</v>
      </c>
      <c r="AF26" s="43" t="e">
        <f>IF(AND('Mapa final'!#REF!="Media",'Mapa final'!#REF!="Mayor"),CONCATENATE("R1C",'Mapa final'!#REF!),"")</f>
        <v>#REF!</v>
      </c>
      <c r="AG26" s="44" t="e">
        <f>IF(AND('Mapa final'!#REF!="Media",'Mapa final'!#REF!="Mayor"),CONCATENATE("R1C",'Mapa final'!#REF!),"")</f>
        <v>#REF!</v>
      </c>
      <c r="AH26" s="45" t="str">
        <f ca="1">IF(AND('Mapa final'!$Y$10="Media",'Mapa final'!$AA$10="Catastrófico"),CONCATENATE("R1C",'Mapa final'!$O$10),"")</f>
        <v/>
      </c>
      <c r="AI26" s="46" t="e">
        <f>IF(AND('Mapa final'!#REF!="Media",'Mapa final'!#REF!="Catastrófico"),CONCATENATE("R1C",'Mapa final'!#REF!),"")</f>
        <v>#REF!</v>
      </c>
      <c r="AJ26" s="46" t="e">
        <f>IF(AND('Mapa final'!#REF!="Media",'Mapa final'!#REF!="Catastrófico"),CONCATENATE("R1C",'Mapa final'!#REF!),"")</f>
        <v>#REF!</v>
      </c>
      <c r="AK26" s="46" t="e">
        <f>IF(AND('Mapa final'!#REF!="Media",'Mapa final'!#REF!="Catastrófico"),CONCATENATE("R1C",'Mapa final'!#REF!),"")</f>
        <v>#REF!</v>
      </c>
      <c r="AL26" s="46" t="e">
        <f>IF(AND('Mapa final'!#REF!="Media",'Mapa final'!#REF!="Catastrófico"),CONCATENATE("R1C",'Mapa final'!#REF!),"")</f>
        <v>#REF!</v>
      </c>
      <c r="AM26" s="47" t="e">
        <f>IF(AND('Mapa final'!#REF!="Media",'Mapa final'!#REF!="Catastrófico"),CONCATENATE("R1C",'Mapa final'!#REF!),"")</f>
        <v>#REF!</v>
      </c>
      <c r="AN26" s="80"/>
      <c r="AO26" s="340" t="s">
        <v>80</v>
      </c>
      <c r="AP26" s="341"/>
      <c r="AQ26" s="341"/>
      <c r="AR26" s="341"/>
      <c r="AS26" s="341"/>
      <c r="AT26" s="342"/>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row>
    <row r="27" spans="1:76" ht="15" customHeight="1" x14ac:dyDescent="0.45">
      <c r="A27" s="80"/>
      <c r="B27" s="261"/>
      <c r="C27" s="261"/>
      <c r="D27" s="262"/>
      <c r="E27" s="318"/>
      <c r="F27" s="319"/>
      <c r="G27" s="319"/>
      <c r="H27" s="319"/>
      <c r="I27" s="304"/>
      <c r="J27" s="64" t="str">
        <f ca="1">IF(AND('Mapa final'!$Y$11="Media",'Mapa final'!$AA$11="Leve"),CONCATENATE("R2C",'Mapa final'!$O$11),"")</f>
        <v/>
      </c>
      <c r="K27" s="65" t="str">
        <f ca="1">IF(AND('Mapa final'!$Y$12="Media",'Mapa final'!$AA$12="Leve"),CONCATENATE("R2C",'Mapa final'!$O$12),"")</f>
        <v/>
      </c>
      <c r="L27" s="65" t="str">
        <f ca="1">IF(AND('Mapa final'!$Y$13="Media",'Mapa final'!$AA$13="Leve"),CONCATENATE("R2C",'Mapa final'!$O$13),"")</f>
        <v/>
      </c>
      <c r="M27" s="65" t="str">
        <f ca="1">IF(AND('Mapa final'!$Y$14="Media",'Mapa final'!$AA$14="Leve"),CONCATENATE("R2C",'Mapa final'!$O$14),"")</f>
        <v/>
      </c>
      <c r="N27" s="65" t="e">
        <f>IF(AND('Mapa final'!#REF!="Media",'Mapa final'!#REF!="Leve"),CONCATENATE("R2C",'Mapa final'!#REF!),"")</f>
        <v>#REF!</v>
      </c>
      <c r="O27" s="66" t="e">
        <f>IF(AND('Mapa final'!#REF!="Media",'Mapa final'!#REF!="Leve"),CONCATENATE("R2C",'Mapa final'!#REF!),"")</f>
        <v>#REF!</v>
      </c>
      <c r="P27" s="64" t="str">
        <f ca="1">IF(AND('Mapa final'!$Y$11="Media",'Mapa final'!$AA$11="Menor"),CONCATENATE("R2C",'Mapa final'!$O$11),"")</f>
        <v/>
      </c>
      <c r="Q27" s="65" t="str">
        <f ca="1">IF(AND('Mapa final'!$Y$12="Media",'Mapa final'!$AA$12="Menor"),CONCATENATE("R2C",'Mapa final'!$O$12),"")</f>
        <v/>
      </c>
      <c r="R27" s="65" t="str">
        <f ca="1">IF(AND('Mapa final'!$Y$13="Media",'Mapa final'!$AA$13="Menor"),CONCATENATE("R2C",'Mapa final'!$O$13),"")</f>
        <v/>
      </c>
      <c r="S27" s="65" t="str">
        <f ca="1">IF(AND('Mapa final'!$Y$14="Media",'Mapa final'!$AA$14="Menor"),CONCATENATE("R2C",'Mapa final'!$O$14),"")</f>
        <v/>
      </c>
      <c r="T27" s="65" t="e">
        <f>IF(AND('Mapa final'!#REF!="Media",'Mapa final'!#REF!="Menor"),CONCATENATE("R2C",'Mapa final'!#REF!),"")</f>
        <v>#REF!</v>
      </c>
      <c r="U27" s="66" t="e">
        <f>IF(AND('Mapa final'!#REF!="Media",'Mapa final'!#REF!="Menor"),CONCATENATE("R2C",'Mapa final'!#REF!),"")</f>
        <v>#REF!</v>
      </c>
      <c r="V27" s="64" t="str">
        <f ca="1">IF(AND('Mapa final'!$Y$11="Media",'Mapa final'!$AA$11="Moderado"),CONCATENATE("R2C",'Mapa final'!$O$11),"")</f>
        <v/>
      </c>
      <c r="W27" s="65" t="str">
        <f ca="1">IF(AND('Mapa final'!$Y$12="Media",'Mapa final'!$AA$12="Moderado"),CONCATENATE("R2C",'Mapa final'!$O$12),"")</f>
        <v/>
      </c>
      <c r="X27" s="65" t="str">
        <f ca="1">IF(AND('Mapa final'!$Y$13="Media",'Mapa final'!$AA$13="Moderado"),CONCATENATE("R2C",'Mapa final'!$O$13),"")</f>
        <v/>
      </c>
      <c r="Y27" s="65" t="str">
        <f ca="1">IF(AND('Mapa final'!$Y$14="Media",'Mapa final'!$AA$14="Moderado"),CONCATENATE("R2C",'Mapa final'!$O$14),"")</f>
        <v/>
      </c>
      <c r="Z27" s="65" t="e">
        <f>IF(AND('Mapa final'!#REF!="Media",'Mapa final'!#REF!="Moderado"),CONCATENATE("R2C",'Mapa final'!#REF!),"")</f>
        <v>#REF!</v>
      </c>
      <c r="AA27" s="66" t="e">
        <f>IF(AND('Mapa final'!#REF!="Media",'Mapa final'!#REF!="Moderado"),CONCATENATE("R2C",'Mapa final'!#REF!),"")</f>
        <v>#REF!</v>
      </c>
      <c r="AB27" s="48" t="str">
        <f ca="1">IF(AND('Mapa final'!$Y$11="Media",'Mapa final'!$AA$11="Mayor"),CONCATENATE("R2C",'Mapa final'!$O$11),"")</f>
        <v/>
      </c>
      <c r="AC27" s="49" t="str">
        <f ca="1">IF(AND('Mapa final'!$Y$12="Media",'Mapa final'!$AA$12="Mayor"),CONCATENATE("R2C",'Mapa final'!$O$12),"")</f>
        <v/>
      </c>
      <c r="AD27" s="49" t="str">
        <f ca="1">IF(AND('Mapa final'!$Y$13="Media",'Mapa final'!$AA$13="Mayor"),CONCATENATE("R2C",'Mapa final'!$O$13),"")</f>
        <v/>
      </c>
      <c r="AE27" s="49" t="str">
        <f ca="1">IF(AND('Mapa final'!$Y$14="Media",'Mapa final'!$AA$14="Mayor"),CONCATENATE("R2C",'Mapa final'!$O$14),"")</f>
        <v/>
      </c>
      <c r="AF27" s="49" t="e">
        <f>IF(AND('Mapa final'!#REF!="Media",'Mapa final'!#REF!="Mayor"),CONCATENATE("R2C",'Mapa final'!#REF!),"")</f>
        <v>#REF!</v>
      </c>
      <c r="AG27" s="50" t="e">
        <f>IF(AND('Mapa final'!#REF!="Media",'Mapa final'!#REF!="Mayor"),CONCATENATE("R2C",'Mapa final'!#REF!),"")</f>
        <v>#REF!</v>
      </c>
      <c r="AH27" s="51" t="str">
        <f ca="1">IF(AND('Mapa final'!$Y$11="Media",'Mapa final'!$AA$11="Catastrófico"),CONCATENATE("R2C",'Mapa final'!$O$11),"")</f>
        <v/>
      </c>
      <c r="AI27" s="52" t="str">
        <f ca="1">IF(AND('Mapa final'!$Y$12="Media",'Mapa final'!$AA$12="Catastrófico"),CONCATENATE("R2C",'Mapa final'!$O$12),"")</f>
        <v/>
      </c>
      <c r="AJ27" s="52" t="str">
        <f ca="1">IF(AND('Mapa final'!$Y$13="Media",'Mapa final'!$AA$13="Catastrófico"),CONCATENATE("R2C",'Mapa final'!$O$13),"")</f>
        <v/>
      </c>
      <c r="AK27" s="52" t="str">
        <f ca="1">IF(AND('Mapa final'!$Y$14="Media",'Mapa final'!$AA$14="Catastrófico"),CONCATENATE("R2C",'Mapa final'!$O$14),"")</f>
        <v/>
      </c>
      <c r="AL27" s="52" t="e">
        <f>IF(AND('Mapa final'!#REF!="Media",'Mapa final'!#REF!="Catastrófico"),CONCATENATE("R2C",'Mapa final'!#REF!),"")</f>
        <v>#REF!</v>
      </c>
      <c r="AM27" s="53" t="e">
        <f>IF(AND('Mapa final'!#REF!="Media",'Mapa final'!#REF!="Catastrófico"),CONCATENATE("R2C",'Mapa final'!#REF!),"")</f>
        <v>#REF!</v>
      </c>
      <c r="AN27" s="80"/>
      <c r="AO27" s="343"/>
      <c r="AP27" s="344"/>
      <c r="AQ27" s="344"/>
      <c r="AR27" s="344"/>
      <c r="AS27" s="344"/>
      <c r="AT27" s="345"/>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row>
    <row r="28" spans="1:76" ht="15" customHeight="1" x14ac:dyDescent="0.45">
      <c r="A28" s="80"/>
      <c r="B28" s="261"/>
      <c r="C28" s="261"/>
      <c r="D28" s="262"/>
      <c r="E28" s="302"/>
      <c r="F28" s="303"/>
      <c r="G28" s="303"/>
      <c r="H28" s="303"/>
      <c r="I28" s="304"/>
      <c r="J28" s="64" t="str">
        <f ca="1">IF(AND('Mapa final'!$Y$15="Media",'Mapa final'!$AA$15="Leve"),CONCATENATE("R3C",'Mapa final'!$O$15),"")</f>
        <v/>
      </c>
      <c r="K28" s="65" t="str">
        <f ca="1">IF(AND('Mapa final'!$Y$16="Media",'Mapa final'!$AA$16="Leve"),CONCATENATE("R3C",'Mapa final'!$O$16),"")</f>
        <v/>
      </c>
      <c r="L28" s="65" t="e">
        <f>IF(AND('Mapa final'!#REF!="Media",'Mapa final'!#REF!="Leve"),CONCATENATE("R3C",'Mapa final'!#REF!),"")</f>
        <v>#REF!</v>
      </c>
      <c r="M28" s="65" t="e">
        <f>IF(AND('Mapa final'!#REF!="Media",'Mapa final'!#REF!="Leve"),CONCATENATE("R3C",'Mapa final'!#REF!),"")</f>
        <v>#REF!</v>
      </c>
      <c r="N28" s="65" t="e">
        <f>IF(AND('Mapa final'!#REF!="Media",'Mapa final'!#REF!="Leve"),CONCATENATE("R3C",'Mapa final'!#REF!),"")</f>
        <v>#REF!</v>
      </c>
      <c r="O28" s="66" t="e">
        <f>IF(AND('Mapa final'!#REF!="Media",'Mapa final'!#REF!="Leve"),CONCATENATE("R3C",'Mapa final'!#REF!),"")</f>
        <v>#REF!</v>
      </c>
      <c r="P28" s="64" t="str">
        <f ca="1">IF(AND('Mapa final'!$Y$15="Media",'Mapa final'!$AA$15="Menor"),CONCATENATE("R3C",'Mapa final'!$O$15),"")</f>
        <v/>
      </c>
      <c r="Q28" s="65" t="str">
        <f ca="1">IF(AND('Mapa final'!$Y$16="Media",'Mapa final'!$AA$16="Menor"),CONCATENATE("R3C",'Mapa final'!$O$16),"")</f>
        <v/>
      </c>
      <c r="R28" s="65" t="e">
        <f>IF(AND('Mapa final'!#REF!="Media",'Mapa final'!#REF!="Menor"),CONCATENATE("R3C",'Mapa final'!#REF!),"")</f>
        <v>#REF!</v>
      </c>
      <c r="S28" s="65" t="e">
        <f>IF(AND('Mapa final'!#REF!="Media",'Mapa final'!#REF!="Menor"),CONCATENATE("R3C",'Mapa final'!#REF!),"")</f>
        <v>#REF!</v>
      </c>
      <c r="T28" s="65" t="e">
        <f>IF(AND('Mapa final'!#REF!="Media",'Mapa final'!#REF!="Menor"),CONCATENATE("R3C",'Mapa final'!#REF!),"")</f>
        <v>#REF!</v>
      </c>
      <c r="U28" s="66" t="e">
        <f>IF(AND('Mapa final'!#REF!="Media",'Mapa final'!#REF!="Menor"),CONCATENATE("R3C",'Mapa final'!#REF!),"")</f>
        <v>#REF!</v>
      </c>
      <c r="V28" s="64" t="str">
        <f ca="1">IF(AND('Mapa final'!$Y$15="Media",'Mapa final'!$AA$15="Moderado"),CONCATENATE("R3C",'Mapa final'!$O$15),"")</f>
        <v/>
      </c>
      <c r="W28" s="65" t="str">
        <f ca="1">IF(AND('Mapa final'!$Y$16="Media",'Mapa final'!$AA$16="Moderado"),CONCATENATE("R3C",'Mapa final'!$O$16),"")</f>
        <v/>
      </c>
      <c r="X28" s="65" t="e">
        <f>IF(AND('Mapa final'!#REF!="Media",'Mapa final'!#REF!="Moderado"),CONCATENATE("R3C",'Mapa final'!#REF!),"")</f>
        <v>#REF!</v>
      </c>
      <c r="Y28" s="65" t="e">
        <f>IF(AND('Mapa final'!#REF!="Media",'Mapa final'!#REF!="Moderado"),CONCATENATE("R3C",'Mapa final'!#REF!),"")</f>
        <v>#REF!</v>
      </c>
      <c r="Z28" s="65" t="e">
        <f>IF(AND('Mapa final'!#REF!="Media",'Mapa final'!#REF!="Moderado"),CONCATENATE("R3C",'Mapa final'!#REF!),"")</f>
        <v>#REF!</v>
      </c>
      <c r="AA28" s="66" t="e">
        <f>IF(AND('Mapa final'!#REF!="Media",'Mapa final'!#REF!="Moderado"),CONCATENATE("R3C",'Mapa final'!#REF!),"")</f>
        <v>#REF!</v>
      </c>
      <c r="AB28" s="48" t="str">
        <f ca="1">IF(AND('Mapa final'!$Y$15="Media",'Mapa final'!$AA$15="Mayor"),CONCATENATE("R3C",'Mapa final'!$O$15),"")</f>
        <v/>
      </c>
      <c r="AC28" s="49" t="str">
        <f ca="1">IF(AND('Mapa final'!$Y$16="Media",'Mapa final'!$AA$16="Mayor"),CONCATENATE("R3C",'Mapa final'!$O$16),"")</f>
        <v/>
      </c>
      <c r="AD28" s="49" t="e">
        <f>IF(AND('Mapa final'!#REF!="Media",'Mapa final'!#REF!="Mayor"),CONCATENATE("R3C",'Mapa final'!#REF!),"")</f>
        <v>#REF!</v>
      </c>
      <c r="AE28" s="49" t="e">
        <f>IF(AND('Mapa final'!#REF!="Media",'Mapa final'!#REF!="Mayor"),CONCATENATE("R3C",'Mapa final'!#REF!),"")</f>
        <v>#REF!</v>
      </c>
      <c r="AF28" s="49" t="e">
        <f>IF(AND('Mapa final'!#REF!="Media",'Mapa final'!#REF!="Mayor"),CONCATENATE("R3C",'Mapa final'!#REF!),"")</f>
        <v>#REF!</v>
      </c>
      <c r="AG28" s="50" t="e">
        <f>IF(AND('Mapa final'!#REF!="Media",'Mapa final'!#REF!="Mayor"),CONCATENATE("R3C",'Mapa final'!#REF!),"")</f>
        <v>#REF!</v>
      </c>
      <c r="AH28" s="51" t="str">
        <f ca="1">IF(AND('Mapa final'!$Y$15="Media",'Mapa final'!$AA$15="Catastrófico"),CONCATENATE("R3C",'Mapa final'!$O$15),"")</f>
        <v/>
      </c>
      <c r="AI28" s="52" t="str">
        <f ca="1">IF(AND('Mapa final'!$Y$16="Media",'Mapa final'!$AA$16="Catastrófico"),CONCATENATE("R3C",'Mapa final'!$O$16),"")</f>
        <v/>
      </c>
      <c r="AJ28" s="52" t="e">
        <f>IF(AND('Mapa final'!#REF!="Media",'Mapa final'!#REF!="Catastrófico"),CONCATENATE("R3C",'Mapa final'!#REF!),"")</f>
        <v>#REF!</v>
      </c>
      <c r="AK28" s="52" t="e">
        <f>IF(AND('Mapa final'!#REF!="Media",'Mapa final'!#REF!="Catastrófico"),CONCATENATE("R3C",'Mapa final'!#REF!),"")</f>
        <v>#REF!</v>
      </c>
      <c r="AL28" s="52" t="e">
        <f>IF(AND('Mapa final'!#REF!="Media",'Mapa final'!#REF!="Catastrófico"),CONCATENATE("R3C",'Mapa final'!#REF!),"")</f>
        <v>#REF!</v>
      </c>
      <c r="AM28" s="53" t="e">
        <f>IF(AND('Mapa final'!#REF!="Media",'Mapa final'!#REF!="Catastrófico"),CONCATENATE("R3C",'Mapa final'!#REF!),"")</f>
        <v>#REF!</v>
      </c>
      <c r="AN28" s="80"/>
      <c r="AO28" s="343"/>
      <c r="AP28" s="344"/>
      <c r="AQ28" s="344"/>
      <c r="AR28" s="344"/>
      <c r="AS28" s="344"/>
      <c r="AT28" s="345"/>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row>
    <row r="29" spans="1:76" ht="15" customHeight="1" x14ac:dyDescent="0.45">
      <c r="A29" s="80"/>
      <c r="B29" s="261"/>
      <c r="C29" s="261"/>
      <c r="D29" s="262"/>
      <c r="E29" s="302"/>
      <c r="F29" s="303"/>
      <c r="G29" s="303"/>
      <c r="H29" s="303"/>
      <c r="I29" s="304"/>
      <c r="J29" s="64" t="str">
        <f ca="1">IF(AND('Mapa final'!$Y$17="Media",'Mapa final'!$AA$17="Leve"),CONCATENATE("R4C",'Mapa final'!$O$17),"")</f>
        <v/>
      </c>
      <c r="K29" s="65" t="e">
        <f>IF(AND('Mapa final'!#REF!="Media",'Mapa final'!#REF!="Leve"),CONCATENATE("R4C",'Mapa final'!#REF!),"")</f>
        <v>#REF!</v>
      </c>
      <c r="L29" s="65" t="e">
        <f>IF(AND('Mapa final'!#REF!="Media",'Mapa final'!#REF!="Leve"),CONCATENATE("R4C",'Mapa final'!#REF!),"")</f>
        <v>#REF!</v>
      </c>
      <c r="M29" s="65" t="e">
        <f>IF(AND('Mapa final'!#REF!="Media",'Mapa final'!#REF!="Leve"),CONCATENATE("R4C",'Mapa final'!#REF!),"")</f>
        <v>#REF!</v>
      </c>
      <c r="N29" s="65" t="e">
        <f>IF(AND('Mapa final'!#REF!="Media",'Mapa final'!#REF!="Leve"),CONCATENATE("R4C",'Mapa final'!#REF!),"")</f>
        <v>#REF!</v>
      </c>
      <c r="O29" s="66" t="e">
        <f>IF(AND('Mapa final'!#REF!="Media",'Mapa final'!#REF!="Leve"),CONCATENATE("R4C",'Mapa final'!#REF!),"")</f>
        <v>#REF!</v>
      </c>
      <c r="P29" s="64" t="str">
        <f ca="1">IF(AND('Mapa final'!$Y$17="Media",'Mapa final'!$AA$17="Menor"),CONCATENATE("R4C",'Mapa final'!$O$17),"")</f>
        <v/>
      </c>
      <c r="Q29" s="65" t="e">
        <f>IF(AND('Mapa final'!#REF!="Media",'Mapa final'!#REF!="Menor"),CONCATENATE("R4C",'Mapa final'!#REF!),"")</f>
        <v>#REF!</v>
      </c>
      <c r="R29" s="65" t="e">
        <f>IF(AND('Mapa final'!#REF!="Media",'Mapa final'!#REF!="Menor"),CONCATENATE("R4C",'Mapa final'!#REF!),"")</f>
        <v>#REF!</v>
      </c>
      <c r="S29" s="65" t="e">
        <f>IF(AND('Mapa final'!#REF!="Media",'Mapa final'!#REF!="Menor"),CONCATENATE("R4C",'Mapa final'!#REF!),"")</f>
        <v>#REF!</v>
      </c>
      <c r="T29" s="65" t="e">
        <f>IF(AND('Mapa final'!#REF!="Media",'Mapa final'!#REF!="Menor"),CONCATENATE("R4C",'Mapa final'!#REF!),"")</f>
        <v>#REF!</v>
      </c>
      <c r="U29" s="66" t="e">
        <f>IF(AND('Mapa final'!#REF!="Media",'Mapa final'!#REF!="Menor"),CONCATENATE("R4C",'Mapa final'!#REF!),"")</f>
        <v>#REF!</v>
      </c>
      <c r="V29" s="64" t="str">
        <f ca="1">IF(AND('Mapa final'!$Y$17="Media",'Mapa final'!$AA$17="Moderado"),CONCATENATE("R4C",'Mapa final'!$O$17),"")</f>
        <v/>
      </c>
      <c r="W29" s="65" t="e">
        <f>IF(AND('Mapa final'!#REF!="Media",'Mapa final'!#REF!="Moderado"),CONCATENATE("R4C",'Mapa final'!#REF!),"")</f>
        <v>#REF!</v>
      </c>
      <c r="X29" s="65" t="e">
        <f>IF(AND('Mapa final'!#REF!="Media",'Mapa final'!#REF!="Moderado"),CONCATENATE("R4C",'Mapa final'!#REF!),"")</f>
        <v>#REF!</v>
      </c>
      <c r="Y29" s="65" t="e">
        <f>IF(AND('Mapa final'!#REF!="Media",'Mapa final'!#REF!="Moderado"),CONCATENATE("R4C",'Mapa final'!#REF!),"")</f>
        <v>#REF!</v>
      </c>
      <c r="Z29" s="65" t="e">
        <f>IF(AND('Mapa final'!#REF!="Media",'Mapa final'!#REF!="Moderado"),CONCATENATE("R4C",'Mapa final'!#REF!),"")</f>
        <v>#REF!</v>
      </c>
      <c r="AA29" s="66" t="e">
        <f>IF(AND('Mapa final'!#REF!="Media",'Mapa final'!#REF!="Moderado"),CONCATENATE("R4C",'Mapa final'!#REF!),"")</f>
        <v>#REF!</v>
      </c>
      <c r="AB29" s="48" t="str">
        <f ca="1">IF(AND('Mapa final'!$Y$17="Media",'Mapa final'!$AA$17="Mayor"),CONCATENATE("R4C",'Mapa final'!$O$17),"")</f>
        <v/>
      </c>
      <c r="AC29" s="49" t="e">
        <f>IF(AND('Mapa final'!#REF!="Media",'Mapa final'!#REF!="Mayor"),CONCATENATE("R4C",'Mapa final'!#REF!),"")</f>
        <v>#REF!</v>
      </c>
      <c r="AD29" s="54" t="e">
        <f>IF(AND('Mapa final'!#REF!="Media",'Mapa final'!#REF!="Mayor"),CONCATENATE("R4C",'Mapa final'!#REF!),"")</f>
        <v>#REF!</v>
      </c>
      <c r="AE29" s="54" t="e">
        <f>IF(AND('Mapa final'!#REF!="Media",'Mapa final'!#REF!="Mayor"),CONCATENATE("R4C",'Mapa final'!#REF!),"")</f>
        <v>#REF!</v>
      </c>
      <c r="AF29" s="54" t="e">
        <f>IF(AND('Mapa final'!#REF!="Media",'Mapa final'!#REF!="Mayor"),CONCATENATE("R4C",'Mapa final'!#REF!),"")</f>
        <v>#REF!</v>
      </c>
      <c r="AG29" s="50" t="e">
        <f>IF(AND('Mapa final'!#REF!="Media",'Mapa final'!#REF!="Mayor"),CONCATENATE("R4C",'Mapa final'!#REF!),"")</f>
        <v>#REF!</v>
      </c>
      <c r="AH29" s="51" t="str">
        <f ca="1">IF(AND('Mapa final'!$Y$17="Media",'Mapa final'!$AA$17="Catastrófico"),CONCATENATE("R4C",'Mapa final'!$O$17),"")</f>
        <v/>
      </c>
      <c r="AI29" s="52" t="e">
        <f>IF(AND('Mapa final'!#REF!="Media",'Mapa final'!#REF!="Catastrófico"),CONCATENATE("R4C",'Mapa final'!#REF!),"")</f>
        <v>#REF!</v>
      </c>
      <c r="AJ29" s="52" t="e">
        <f>IF(AND('Mapa final'!#REF!="Media",'Mapa final'!#REF!="Catastrófico"),CONCATENATE("R4C",'Mapa final'!#REF!),"")</f>
        <v>#REF!</v>
      </c>
      <c r="AK29" s="52" t="e">
        <f>IF(AND('Mapa final'!#REF!="Media",'Mapa final'!#REF!="Catastrófico"),CONCATENATE("R4C",'Mapa final'!#REF!),"")</f>
        <v>#REF!</v>
      </c>
      <c r="AL29" s="52" t="e">
        <f>IF(AND('Mapa final'!#REF!="Media",'Mapa final'!#REF!="Catastrófico"),CONCATENATE("R4C",'Mapa final'!#REF!),"")</f>
        <v>#REF!</v>
      </c>
      <c r="AM29" s="53" t="e">
        <f>IF(AND('Mapa final'!#REF!="Media",'Mapa final'!#REF!="Catastrófico"),CONCATENATE("R4C",'Mapa final'!#REF!),"")</f>
        <v>#REF!</v>
      </c>
      <c r="AN29" s="80"/>
      <c r="AO29" s="343"/>
      <c r="AP29" s="344"/>
      <c r="AQ29" s="344"/>
      <c r="AR29" s="344"/>
      <c r="AS29" s="344"/>
      <c r="AT29" s="345"/>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row>
    <row r="30" spans="1:76" ht="15" customHeight="1" x14ac:dyDescent="0.45">
      <c r="A30" s="80"/>
      <c r="B30" s="261"/>
      <c r="C30" s="261"/>
      <c r="D30" s="262"/>
      <c r="E30" s="302"/>
      <c r="F30" s="303"/>
      <c r="G30" s="303"/>
      <c r="H30" s="303"/>
      <c r="I30" s="304"/>
      <c r="J30" s="64" t="str">
        <f ca="1">IF(AND('Mapa final'!$Y$18="Media",'Mapa final'!$AA$18="Leve"),CONCATENATE("R5C",'Mapa final'!$O$18),"")</f>
        <v/>
      </c>
      <c r="K30" s="65" t="str">
        <f ca="1">IF(AND('Mapa final'!$Y$19="Media",'Mapa final'!$AA$19="Leve"),CONCATENATE("R5C",'Mapa final'!$O$19),"")</f>
        <v/>
      </c>
      <c r="L30" s="65" t="e">
        <f>IF(AND('Mapa final'!#REF!="Media",'Mapa final'!#REF!="Leve"),CONCATENATE("R5C",'Mapa final'!#REF!),"")</f>
        <v>#REF!</v>
      </c>
      <c r="M30" s="65" t="e">
        <f>IF(AND('Mapa final'!#REF!="Media",'Mapa final'!#REF!="Leve"),CONCATENATE("R5C",'Mapa final'!#REF!),"")</f>
        <v>#REF!</v>
      </c>
      <c r="N30" s="65" t="e">
        <f>IF(AND('Mapa final'!#REF!="Media",'Mapa final'!#REF!="Leve"),CONCATENATE("R5C",'Mapa final'!#REF!),"")</f>
        <v>#REF!</v>
      </c>
      <c r="O30" s="66" t="e">
        <f>IF(AND('Mapa final'!#REF!="Media",'Mapa final'!#REF!="Leve"),CONCATENATE("R5C",'Mapa final'!#REF!),"")</f>
        <v>#REF!</v>
      </c>
      <c r="P30" s="64" t="str">
        <f ca="1">IF(AND('Mapa final'!$Y$18="Media",'Mapa final'!$AA$18="Menor"),CONCATENATE("R5C",'Mapa final'!$O$18),"")</f>
        <v/>
      </c>
      <c r="Q30" s="65" t="str">
        <f ca="1">IF(AND('Mapa final'!$Y$19="Media",'Mapa final'!$AA$19="Menor"),CONCATENATE("R5C",'Mapa final'!$O$19),"")</f>
        <v/>
      </c>
      <c r="R30" s="65" t="e">
        <f>IF(AND('Mapa final'!#REF!="Media",'Mapa final'!#REF!="Menor"),CONCATENATE("R5C",'Mapa final'!#REF!),"")</f>
        <v>#REF!</v>
      </c>
      <c r="S30" s="65" t="e">
        <f>IF(AND('Mapa final'!#REF!="Media",'Mapa final'!#REF!="Menor"),CONCATENATE("R5C",'Mapa final'!#REF!),"")</f>
        <v>#REF!</v>
      </c>
      <c r="T30" s="65" t="e">
        <f>IF(AND('Mapa final'!#REF!="Media",'Mapa final'!#REF!="Menor"),CONCATENATE("R5C",'Mapa final'!#REF!),"")</f>
        <v>#REF!</v>
      </c>
      <c r="U30" s="66" t="e">
        <f>IF(AND('Mapa final'!#REF!="Media",'Mapa final'!#REF!="Menor"),CONCATENATE("R5C",'Mapa final'!#REF!),"")</f>
        <v>#REF!</v>
      </c>
      <c r="V30" s="64" t="str">
        <f ca="1">IF(AND('Mapa final'!$Y$18="Media",'Mapa final'!$AA$18="Moderado"),CONCATENATE("R5C",'Mapa final'!$O$18),"")</f>
        <v/>
      </c>
      <c r="W30" s="65" t="str">
        <f ca="1">IF(AND('Mapa final'!$Y$19="Media",'Mapa final'!$AA$19="Moderado"),CONCATENATE("R5C",'Mapa final'!$O$19),"")</f>
        <v/>
      </c>
      <c r="X30" s="65" t="e">
        <f>IF(AND('Mapa final'!#REF!="Media",'Mapa final'!#REF!="Moderado"),CONCATENATE("R5C",'Mapa final'!#REF!),"")</f>
        <v>#REF!</v>
      </c>
      <c r="Y30" s="65" t="e">
        <f>IF(AND('Mapa final'!#REF!="Media",'Mapa final'!#REF!="Moderado"),CONCATENATE("R5C",'Mapa final'!#REF!),"")</f>
        <v>#REF!</v>
      </c>
      <c r="Z30" s="65" t="e">
        <f>IF(AND('Mapa final'!#REF!="Media",'Mapa final'!#REF!="Moderado"),CONCATENATE("R5C",'Mapa final'!#REF!),"")</f>
        <v>#REF!</v>
      </c>
      <c r="AA30" s="66" t="e">
        <f>IF(AND('Mapa final'!#REF!="Media",'Mapa final'!#REF!="Moderado"),CONCATENATE("R5C",'Mapa final'!#REF!),"")</f>
        <v>#REF!</v>
      </c>
      <c r="AB30" s="48" t="str">
        <f ca="1">IF(AND('Mapa final'!$Y$18="Media",'Mapa final'!$AA$18="Mayor"),CONCATENATE("R5C",'Mapa final'!$O$18),"")</f>
        <v/>
      </c>
      <c r="AC30" s="49" t="str">
        <f ca="1">IF(AND('Mapa final'!$Y$19="Media",'Mapa final'!$AA$19="Mayor"),CONCATENATE("R5C",'Mapa final'!$O$19),"")</f>
        <v/>
      </c>
      <c r="AD30" s="54" t="e">
        <f>IF(AND('Mapa final'!#REF!="Media",'Mapa final'!#REF!="Mayor"),CONCATENATE("R5C",'Mapa final'!#REF!),"")</f>
        <v>#REF!</v>
      </c>
      <c r="AE30" s="54" t="e">
        <f>IF(AND('Mapa final'!#REF!="Media",'Mapa final'!#REF!="Mayor"),CONCATENATE("R5C",'Mapa final'!#REF!),"")</f>
        <v>#REF!</v>
      </c>
      <c r="AF30" s="54" t="e">
        <f>IF(AND('Mapa final'!#REF!="Media",'Mapa final'!#REF!="Mayor"),CONCATENATE("R5C",'Mapa final'!#REF!),"")</f>
        <v>#REF!</v>
      </c>
      <c r="AG30" s="50" t="e">
        <f>IF(AND('Mapa final'!#REF!="Media",'Mapa final'!#REF!="Mayor"),CONCATENATE("R5C",'Mapa final'!#REF!),"")</f>
        <v>#REF!</v>
      </c>
      <c r="AH30" s="51" t="str">
        <f ca="1">IF(AND('Mapa final'!$Y$18="Media",'Mapa final'!$AA$18="Catastrófico"),CONCATENATE("R5C",'Mapa final'!$O$18),"")</f>
        <v/>
      </c>
      <c r="AI30" s="52" t="str">
        <f ca="1">IF(AND('Mapa final'!$Y$19="Media",'Mapa final'!$AA$19="Catastrófico"),CONCATENATE("R5C",'Mapa final'!$O$19),"")</f>
        <v/>
      </c>
      <c r="AJ30" s="52" t="e">
        <f>IF(AND('Mapa final'!#REF!="Media",'Mapa final'!#REF!="Catastrófico"),CONCATENATE("R5C",'Mapa final'!#REF!),"")</f>
        <v>#REF!</v>
      </c>
      <c r="AK30" s="52" t="e">
        <f>IF(AND('Mapa final'!#REF!="Media",'Mapa final'!#REF!="Catastrófico"),CONCATENATE("R5C",'Mapa final'!#REF!),"")</f>
        <v>#REF!</v>
      </c>
      <c r="AL30" s="52" t="e">
        <f>IF(AND('Mapa final'!#REF!="Media",'Mapa final'!#REF!="Catastrófico"),CONCATENATE("R5C",'Mapa final'!#REF!),"")</f>
        <v>#REF!</v>
      </c>
      <c r="AM30" s="53" t="e">
        <f>IF(AND('Mapa final'!#REF!="Media",'Mapa final'!#REF!="Catastrófico"),CONCATENATE("R5C",'Mapa final'!#REF!),"")</f>
        <v>#REF!</v>
      </c>
      <c r="AN30" s="80"/>
      <c r="AO30" s="343"/>
      <c r="AP30" s="344"/>
      <c r="AQ30" s="344"/>
      <c r="AR30" s="344"/>
      <c r="AS30" s="344"/>
      <c r="AT30" s="345"/>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row>
    <row r="31" spans="1:76" ht="15" customHeight="1" x14ac:dyDescent="0.45">
      <c r="A31" s="80"/>
      <c r="B31" s="261"/>
      <c r="C31" s="261"/>
      <c r="D31" s="262"/>
      <c r="E31" s="302"/>
      <c r="F31" s="303"/>
      <c r="G31" s="303"/>
      <c r="H31" s="303"/>
      <c r="I31" s="304"/>
      <c r="J31" s="64" t="str">
        <f ca="1">IF(AND('Mapa final'!$Y$20="Media",'Mapa final'!$AA$20="Leve"),CONCATENATE("R6C",'Mapa final'!$O$20),"")</f>
        <v/>
      </c>
      <c r="K31" s="65" t="e">
        <f>IF(AND('Mapa final'!#REF!="Media",'Mapa final'!#REF!="Leve"),CONCATENATE("R6C",'Mapa final'!#REF!),"")</f>
        <v>#REF!</v>
      </c>
      <c r="L31" s="65" t="e">
        <f>IF(AND('Mapa final'!#REF!="Media",'Mapa final'!#REF!="Leve"),CONCATENATE("R6C",'Mapa final'!#REF!),"")</f>
        <v>#REF!</v>
      </c>
      <c r="M31" s="65" t="e">
        <f>IF(AND('Mapa final'!#REF!="Media",'Mapa final'!#REF!="Leve"),CONCATENATE("R6C",'Mapa final'!#REF!),"")</f>
        <v>#REF!</v>
      </c>
      <c r="N31" s="65" t="e">
        <f>IF(AND('Mapa final'!#REF!="Media",'Mapa final'!#REF!="Leve"),CONCATENATE("R6C",'Mapa final'!#REF!),"")</f>
        <v>#REF!</v>
      </c>
      <c r="O31" s="66" t="e">
        <f>IF(AND('Mapa final'!#REF!="Media",'Mapa final'!#REF!="Leve"),CONCATENATE("R6C",'Mapa final'!#REF!),"")</f>
        <v>#REF!</v>
      </c>
      <c r="P31" s="64" t="str">
        <f ca="1">IF(AND('Mapa final'!$Y$20="Media",'Mapa final'!$AA$20="Menor"),CONCATENATE("R6C",'Mapa final'!$O$20),"")</f>
        <v/>
      </c>
      <c r="Q31" s="65" t="e">
        <f>IF(AND('Mapa final'!#REF!="Media",'Mapa final'!#REF!="Menor"),CONCATENATE("R6C",'Mapa final'!#REF!),"")</f>
        <v>#REF!</v>
      </c>
      <c r="R31" s="65" t="e">
        <f>IF(AND('Mapa final'!#REF!="Media",'Mapa final'!#REF!="Menor"),CONCATENATE("R6C",'Mapa final'!#REF!),"")</f>
        <v>#REF!</v>
      </c>
      <c r="S31" s="65" t="e">
        <f>IF(AND('Mapa final'!#REF!="Media",'Mapa final'!#REF!="Menor"),CONCATENATE("R6C",'Mapa final'!#REF!),"")</f>
        <v>#REF!</v>
      </c>
      <c r="T31" s="65" t="e">
        <f>IF(AND('Mapa final'!#REF!="Media",'Mapa final'!#REF!="Menor"),CONCATENATE("R6C",'Mapa final'!#REF!),"")</f>
        <v>#REF!</v>
      </c>
      <c r="U31" s="66" t="e">
        <f>IF(AND('Mapa final'!#REF!="Media",'Mapa final'!#REF!="Menor"),CONCATENATE("R6C",'Mapa final'!#REF!),"")</f>
        <v>#REF!</v>
      </c>
      <c r="V31" s="64" t="str">
        <f ca="1">IF(AND('Mapa final'!$Y$20="Media",'Mapa final'!$AA$20="Moderado"),CONCATENATE("R6C",'Mapa final'!$O$20),"")</f>
        <v/>
      </c>
      <c r="W31" s="65" t="e">
        <f>IF(AND('Mapa final'!#REF!="Media",'Mapa final'!#REF!="Moderado"),CONCATENATE("R6C",'Mapa final'!#REF!),"")</f>
        <v>#REF!</v>
      </c>
      <c r="X31" s="65" t="e">
        <f>IF(AND('Mapa final'!#REF!="Media",'Mapa final'!#REF!="Moderado"),CONCATENATE("R6C",'Mapa final'!#REF!),"")</f>
        <v>#REF!</v>
      </c>
      <c r="Y31" s="65" t="e">
        <f>IF(AND('Mapa final'!#REF!="Media",'Mapa final'!#REF!="Moderado"),CONCATENATE("R6C",'Mapa final'!#REF!),"")</f>
        <v>#REF!</v>
      </c>
      <c r="Z31" s="65" t="e">
        <f>IF(AND('Mapa final'!#REF!="Media",'Mapa final'!#REF!="Moderado"),CONCATENATE("R6C",'Mapa final'!#REF!),"")</f>
        <v>#REF!</v>
      </c>
      <c r="AA31" s="66" t="e">
        <f>IF(AND('Mapa final'!#REF!="Media",'Mapa final'!#REF!="Moderado"),CONCATENATE("R6C",'Mapa final'!#REF!),"")</f>
        <v>#REF!</v>
      </c>
      <c r="AB31" s="48" t="str">
        <f ca="1">IF(AND('Mapa final'!$Y$20="Media",'Mapa final'!$AA$20="Mayor"),CONCATENATE("R6C",'Mapa final'!$O$20),"")</f>
        <v/>
      </c>
      <c r="AC31" s="49" t="e">
        <f>IF(AND('Mapa final'!#REF!="Media",'Mapa final'!#REF!="Mayor"),CONCATENATE("R6C",'Mapa final'!#REF!),"")</f>
        <v>#REF!</v>
      </c>
      <c r="AD31" s="54" t="e">
        <f>IF(AND('Mapa final'!#REF!="Media",'Mapa final'!#REF!="Mayor"),CONCATENATE("R6C",'Mapa final'!#REF!),"")</f>
        <v>#REF!</v>
      </c>
      <c r="AE31" s="54" t="e">
        <f>IF(AND('Mapa final'!#REF!="Media",'Mapa final'!#REF!="Mayor"),CONCATENATE("R6C",'Mapa final'!#REF!),"")</f>
        <v>#REF!</v>
      </c>
      <c r="AF31" s="54" t="e">
        <f>IF(AND('Mapa final'!#REF!="Media",'Mapa final'!#REF!="Mayor"),CONCATENATE("R6C",'Mapa final'!#REF!),"")</f>
        <v>#REF!</v>
      </c>
      <c r="AG31" s="50" t="e">
        <f>IF(AND('Mapa final'!#REF!="Media",'Mapa final'!#REF!="Mayor"),CONCATENATE("R6C",'Mapa final'!#REF!),"")</f>
        <v>#REF!</v>
      </c>
      <c r="AH31" s="51" t="str">
        <f ca="1">IF(AND('Mapa final'!$Y$20="Media",'Mapa final'!$AA$20="Catastrófico"),CONCATENATE("R6C",'Mapa final'!$O$20),"")</f>
        <v/>
      </c>
      <c r="AI31" s="52" t="e">
        <f>IF(AND('Mapa final'!#REF!="Media",'Mapa final'!#REF!="Catastrófico"),CONCATENATE("R6C",'Mapa final'!#REF!),"")</f>
        <v>#REF!</v>
      </c>
      <c r="AJ31" s="52" t="e">
        <f>IF(AND('Mapa final'!#REF!="Media",'Mapa final'!#REF!="Catastrófico"),CONCATENATE("R6C",'Mapa final'!#REF!),"")</f>
        <v>#REF!</v>
      </c>
      <c r="AK31" s="52" t="e">
        <f>IF(AND('Mapa final'!#REF!="Media",'Mapa final'!#REF!="Catastrófico"),CONCATENATE("R6C",'Mapa final'!#REF!),"")</f>
        <v>#REF!</v>
      </c>
      <c r="AL31" s="52" t="e">
        <f>IF(AND('Mapa final'!#REF!="Media",'Mapa final'!#REF!="Catastrófico"),CONCATENATE("R6C",'Mapa final'!#REF!),"")</f>
        <v>#REF!</v>
      </c>
      <c r="AM31" s="53" t="e">
        <f>IF(AND('Mapa final'!#REF!="Media",'Mapa final'!#REF!="Catastrófico"),CONCATENATE("R6C",'Mapa final'!#REF!),"")</f>
        <v>#REF!</v>
      </c>
      <c r="AN31" s="80"/>
      <c r="AO31" s="343"/>
      <c r="AP31" s="344"/>
      <c r="AQ31" s="344"/>
      <c r="AR31" s="344"/>
      <c r="AS31" s="344"/>
      <c r="AT31" s="345"/>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row>
    <row r="32" spans="1:76" ht="15" customHeight="1" x14ac:dyDescent="0.45">
      <c r="A32" s="80"/>
      <c r="B32" s="261"/>
      <c r="C32" s="261"/>
      <c r="D32" s="262"/>
      <c r="E32" s="302"/>
      <c r="F32" s="303"/>
      <c r="G32" s="303"/>
      <c r="H32" s="303"/>
      <c r="I32" s="304"/>
      <c r="J32" s="64" t="str">
        <f ca="1">IF(AND('Mapa final'!$Y$21="Media",'Mapa final'!$AA$21="Leve"),CONCATENATE("R7C",'Mapa final'!$O$21),"")</f>
        <v/>
      </c>
      <c r="K32" s="65" t="str">
        <f ca="1">IF(AND('Mapa final'!$Y$22="Media",'Mapa final'!$AA$22="Leve"),CONCATENATE("R7C",'Mapa final'!$O$22),"")</f>
        <v/>
      </c>
      <c r="L32" s="65" t="str">
        <f ca="1">IF(AND('Mapa final'!$Y$23="Media",'Mapa final'!$AA$23="Leve"),CONCATENATE("R7C",'Mapa final'!$O$23),"")</f>
        <v/>
      </c>
      <c r="M32" s="65" t="e">
        <f>IF(AND('Mapa final'!#REF!="Media",'Mapa final'!#REF!="Leve"),CONCATENATE("R7C",'Mapa final'!#REF!),"")</f>
        <v>#REF!</v>
      </c>
      <c r="N32" s="65" t="e">
        <f>IF(AND('Mapa final'!#REF!="Media",'Mapa final'!#REF!="Leve"),CONCATENATE("R7C",'Mapa final'!#REF!),"")</f>
        <v>#REF!</v>
      </c>
      <c r="O32" s="66" t="e">
        <f>IF(AND('Mapa final'!#REF!="Media",'Mapa final'!#REF!="Leve"),CONCATENATE("R7C",'Mapa final'!#REF!),"")</f>
        <v>#REF!</v>
      </c>
      <c r="P32" s="64" t="str">
        <f ca="1">IF(AND('Mapa final'!$Y$21="Media",'Mapa final'!$AA$21="Menor"),CONCATENATE("R7C",'Mapa final'!$O$21),"")</f>
        <v/>
      </c>
      <c r="Q32" s="65" t="str">
        <f ca="1">IF(AND('Mapa final'!$Y$22="Media",'Mapa final'!$AA$22="Menor"),CONCATENATE("R7C",'Mapa final'!$O$22),"")</f>
        <v/>
      </c>
      <c r="R32" s="65" t="str">
        <f ca="1">IF(AND('Mapa final'!$Y$23="Media",'Mapa final'!$AA$23="Menor"),CONCATENATE("R7C",'Mapa final'!$O$23),"")</f>
        <v/>
      </c>
      <c r="S32" s="65" t="e">
        <f>IF(AND('Mapa final'!#REF!="Media",'Mapa final'!#REF!="Menor"),CONCATENATE("R7C",'Mapa final'!#REF!),"")</f>
        <v>#REF!</v>
      </c>
      <c r="T32" s="65" t="e">
        <f>IF(AND('Mapa final'!#REF!="Media",'Mapa final'!#REF!="Menor"),CONCATENATE("R7C",'Mapa final'!#REF!),"")</f>
        <v>#REF!</v>
      </c>
      <c r="U32" s="66" t="e">
        <f>IF(AND('Mapa final'!#REF!="Media",'Mapa final'!#REF!="Menor"),CONCATENATE("R7C",'Mapa final'!#REF!),"")</f>
        <v>#REF!</v>
      </c>
      <c r="V32" s="64" t="str">
        <f ca="1">IF(AND('Mapa final'!$Y$21="Media",'Mapa final'!$AA$21="Moderado"),CONCATENATE("R7C",'Mapa final'!$O$21),"")</f>
        <v/>
      </c>
      <c r="W32" s="65" t="str">
        <f ca="1">IF(AND('Mapa final'!$Y$22="Media",'Mapa final'!$AA$22="Moderado"),CONCATENATE("R7C",'Mapa final'!$O$22),"")</f>
        <v/>
      </c>
      <c r="X32" s="65" t="str">
        <f ca="1">IF(AND('Mapa final'!$Y$23="Media",'Mapa final'!$AA$23="Moderado"),CONCATENATE("R7C",'Mapa final'!$O$23),"")</f>
        <v/>
      </c>
      <c r="Y32" s="65" t="e">
        <f>IF(AND('Mapa final'!#REF!="Media",'Mapa final'!#REF!="Moderado"),CONCATENATE("R7C",'Mapa final'!#REF!),"")</f>
        <v>#REF!</v>
      </c>
      <c r="Z32" s="65" t="e">
        <f>IF(AND('Mapa final'!#REF!="Media",'Mapa final'!#REF!="Moderado"),CONCATENATE("R7C",'Mapa final'!#REF!),"")</f>
        <v>#REF!</v>
      </c>
      <c r="AA32" s="66" t="e">
        <f>IF(AND('Mapa final'!#REF!="Media",'Mapa final'!#REF!="Moderado"),CONCATENATE("R7C",'Mapa final'!#REF!),"")</f>
        <v>#REF!</v>
      </c>
      <c r="AB32" s="48" t="str">
        <f ca="1">IF(AND('Mapa final'!$Y$21="Media",'Mapa final'!$AA$21="Mayor"),CONCATENATE("R7C",'Mapa final'!$O$21),"")</f>
        <v/>
      </c>
      <c r="AC32" s="49" t="str">
        <f ca="1">IF(AND('Mapa final'!$Y$22="Media",'Mapa final'!$AA$22="Mayor"),CONCATENATE("R7C",'Mapa final'!$O$22),"")</f>
        <v/>
      </c>
      <c r="AD32" s="54" t="str">
        <f ca="1">IF(AND('Mapa final'!$Y$23="Media",'Mapa final'!$AA$23="Mayor"),CONCATENATE("R7C",'Mapa final'!$O$23),"")</f>
        <v/>
      </c>
      <c r="AE32" s="54" t="e">
        <f>IF(AND('Mapa final'!#REF!="Media",'Mapa final'!#REF!="Mayor"),CONCATENATE("R7C",'Mapa final'!#REF!),"")</f>
        <v>#REF!</v>
      </c>
      <c r="AF32" s="54" t="e">
        <f>IF(AND('Mapa final'!#REF!="Media",'Mapa final'!#REF!="Mayor"),CONCATENATE("R7C",'Mapa final'!#REF!),"")</f>
        <v>#REF!</v>
      </c>
      <c r="AG32" s="50" t="e">
        <f>IF(AND('Mapa final'!#REF!="Media",'Mapa final'!#REF!="Mayor"),CONCATENATE("R7C",'Mapa final'!#REF!),"")</f>
        <v>#REF!</v>
      </c>
      <c r="AH32" s="51" t="str">
        <f ca="1">IF(AND('Mapa final'!$Y$21="Media",'Mapa final'!$AA$21="Catastrófico"),CONCATENATE("R7C",'Mapa final'!$O$21),"")</f>
        <v/>
      </c>
      <c r="AI32" s="52" t="str">
        <f ca="1">IF(AND('Mapa final'!$Y$22="Media",'Mapa final'!$AA$22="Catastrófico"),CONCATENATE("R7C",'Mapa final'!$O$22),"")</f>
        <v/>
      </c>
      <c r="AJ32" s="52" t="str">
        <f ca="1">IF(AND('Mapa final'!$Y$23="Media",'Mapa final'!$AA$23="Catastrófico"),CONCATENATE("R7C",'Mapa final'!$O$23),"")</f>
        <v/>
      </c>
      <c r="AK32" s="52" t="e">
        <f>IF(AND('Mapa final'!#REF!="Media",'Mapa final'!#REF!="Catastrófico"),CONCATENATE("R7C",'Mapa final'!#REF!),"")</f>
        <v>#REF!</v>
      </c>
      <c r="AL32" s="52" t="e">
        <f>IF(AND('Mapa final'!#REF!="Media",'Mapa final'!#REF!="Catastrófico"),CONCATENATE("R7C",'Mapa final'!#REF!),"")</f>
        <v>#REF!</v>
      </c>
      <c r="AM32" s="53" t="e">
        <f>IF(AND('Mapa final'!#REF!="Media",'Mapa final'!#REF!="Catastrófico"),CONCATENATE("R7C",'Mapa final'!#REF!),"")</f>
        <v>#REF!</v>
      </c>
      <c r="AN32" s="80"/>
      <c r="AO32" s="343"/>
      <c r="AP32" s="344"/>
      <c r="AQ32" s="344"/>
      <c r="AR32" s="344"/>
      <c r="AS32" s="344"/>
      <c r="AT32" s="345"/>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row>
    <row r="33" spans="1:80" ht="15" customHeight="1" x14ac:dyDescent="0.45">
      <c r="A33" s="80"/>
      <c r="B33" s="261"/>
      <c r="C33" s="261"/>
      <c r="D33" s="262"/>
      <c r="E33" s="302"/>
      <c r="F33" s="303"/>
      <c r="G33" s="303"/>
      <c r="H33" s="303"/>
      <c r="I33" s="304"/>
      <c r="J33" s="64" t="str">
        <f ca="1">IF(AND('Mapa final'!$Y$24="Media",'Mapa final'!$AA$24="Leve"),CONCATENATE("R8C",'Mapa final'!$O$24),"")</f>
        <v/>
      </c>
      <c r="K33" s="65" t="e">
        <f>IF(AND('Mapa final'!#REF!="Media",'Mapa final'!#REF!="Leve"),CONCATENATE("R8C",'Mapa final'!#REF!),"")</f>
        <v>#REF!</v>
      </c>
      <c r="L33" s="65" t="e">
        <f>IF(AND('Mapa final'!#REF!="Media",'Mapa final'!#REF!="Leve"),CONCATENATE("R8C",'Mapa final'!#REF!),"")</f>
        <v>#REF!</v>
      </c>
      <c r="M33" s="65" t="e">
        <f>IF(AND('Mapa final'!#REF!="Media",'Mapa final'!#REF!="Leve"),CONCATENATE("R8C",'Mapa final'!#REF!),"")</f>
        <v>#REF!</v>
      </c>
      <c r="N33" s="65" t="e">
        <f>IF(AND('Mapa final'!#REF!="Media",'Mapa final'!#REF!="Leve"),CONCATENATE("R8C",'Mapa final'!#REF!),"")</f>
        <v>#REF!</v>
      </c>
      <c r="O33" s="66" t="e">
        <f>IF(AND('Mapa final'!#REF!="Media",'Mapa final'!#REF!="Leve"),CONCATENATE("R8C",'Mapa final'!#REF!),"")</f>
        <v>#REF!</v>
      </c>
      <c r="P33" s="64" t="str">
        <f ca="1">IF(AND('Mapa final'!$Y$24="Media",'Mapa final'!$AA$24="Menor"),CONCATENATE("R8C",'Mapa final'!$O$24),"")</f>
        <v/>
      </c>
      <c r="Q33" s="65" t="e">
        <f>IF(AND('Mapa final'!#REF!="Media",'Mapa final'!#REF!="Menor"),CONCATENATE("R8C",'Mapa final'!#REF!),"")</f>
        <v>#REF!</v>
      </c>
      <c r="R33" s="65" t="e">
        <f>IF(AND('Mapa final'!#REF!="Media",'Mapa final'!#REF!="Menor"),CONCATENATE("R8C",'Mapa final'!#REF!),"")</f>
        <v>#REF!</v>
      </c>
      <c r="S33" s="65" t="e">
        <f>IF(AND('Mapa final'!#REF!="Media",'Mapa final'!#REF!="Menor"),CONCATENATE("R8C",'Mapa final'!#REF!),"")</f>
        <v>#REF!</v>
      </c>
      <c r="T33" s="65" t="e">
        <f>IF(AND('Mapa final'!#REF!="Media",'Mapa final'!#REF!="Menor"),CONCATENATE("R8C",'Mapa final'!#REF!),"")</f>
        <v>#REF!</v>
      </c>
      <c r="U33" s="66" t="e">
        <f>IF(AND('Mapa final'!#REF!="Media",'Mapa final'!#REF!="Menor"),CONCATENATE("R8C",'Mapa final'!#REF!),"")</f>
        <v>#REF!</v>
      </c>
      <c r="V33" s="64" t="str">
        <f ca="1">IF(AND('Mapa final'!$Y$24="Media",'Mapa final'!$AA$24="Moderado"),CONCATENATE("R8C",'Mapa final'!$O$24),"")</f>
        <v/>
      </c>
      <c r="W33" s="65" t="e">
        <f>IF(AND('Mapa final'!#REF!="Media",'Mapa final'!#REF!="Moderado"),CONCATENATE("R8C",'Mapa final'!#REF!),"")</f>
        <v>#REF!</v>
      </c>
      <c r="X33" s="65" t="e">
        <f>IF(AND('Mapa final'!#REF!="Media",'Mapa final'!#REF!="Moderado"),CONCATENATE("R8C",'Mapa final'!#REF!),"")</f>
        <v>#REF!</v>
      </c>
      <c r="Y33" s="65" t="e">
        <f>IF(AND('Mapa final'!#REF!="Media",'Mapa final'!#REF!="Moderado"),CONCATENATE("R8C",'Mapa final'!#REF!),"")</f>
        <v>#REF!</v>
      </c>
      <c r="Z33" s="65" t="e">
        <f>IF(AND('Mapa final'!#REF!="Media",'Mapa final'!#REF!="Moderado"),CONCATENATE("R8C",'Mapa final'!#REF!),"")</f>
        <v>#REF!</v>
      </c>
      <c r="AA33" s="66" t="e">
        <f>IF(AND('Mapa final'!#REF!="Media",'Mapa final'!#REF!="Moderado"),CONCATENATE("R8C",'Mapa final'!#REF!),"")</f>
        <v>#REF!</v>
      </c>
      <c r="AB33" s="48" t="str">
        <f ca="1">IF(AND('Mapa final'!$Y$24="Media",'Mapa final'!$AA$24="Mayor"),CONCATENATE("R8C",'Mapa final'!$O$24),"")</f>
        <v/>
      </c>
      <c r="AC33" s="49" t="e">
        <f>IF(AND('Mapa final'!#REF!="Media",'Mapa final'!#REF!="Mayor"),CONCATENATE("R8C",'Mapa final'!#REF!),"")</f>
        <v>#REF!</v>
      </c>
      <c r="AD33" s="54" t="e">
        <f>IF(AND('Mapa final'!#REF!="Media",'Mapa final'!#REF!="Mayor"),CONCATENATE("R8C",'Mapa final'!#REF!),"")</f>
        <v>#REF!</v>
      </c>
      <c r="AE33" s="54" t="e">
        <f>IF(AND('Mapa final'!#REF!="Media",'Mapa final'!#REF!="Mayor"),CONCATENATE("R8C",'Mapa final'!#REF!),"")</f>
        <v>#REF!</v>
      </c>
      <c r="AF33" s="54" t="e">
        <f>IF(AND('Mapa final'!#REF!="Media",'Mapa final'!#REF!="Mayor"),CONCATENATE("R8C",'Mapa final'!#REF!),"")</f>
        <v>#REF!</v>
      </c>
      <c r="AG33" s="50" t="e">
        <f>IF(AND('Mapa final'!#REF!="Media",'Mapa final'!#REF!="Mayor"),CONCATENATE("R8C",'Mapa final'!#REF!),"")</f>
        <v>#REF!</v>
      </c>
      <c r="AH33" s="51" t="str">
        <f ca="1">IF(AND('Mapa final'!$Y$24="Media",'Mapa final'!$AA$24="Catastrófico"),CONCATENATE("R8C",'Mapa final'!$O$24),"")</f>
        <v/>
      </c>
      <c r="AI33" s="52" t="e">
        <f>IF(AND('Mapa final'!#REF!="Media",'Mapa final'!#REF!="Catastrófico"),CONCATENATE("R8C",'Mapa final'!#REF!),"")</f>
        <v>#REF!</v>
      </c>
      <c r="AJ33" s="52" t="e">
        <f>IF(AND('Mapa final'!#REF!="Media",'Mapa final'!#REF!="Catastrófico"),CONCATENATE("R8C",'Mapa final'!#REF!),"")</f>
        <v>#REF!</v>
      </c>
      <c r="AK33" s="52" t="e">
        <f>IF(AND('Mapa final'!#REF!="Media",'Mapa final'!#REF!="Catastrófico"),CONCATENATE("R8C",'Mapa final'!#REF!),"")</f>
        <v>#REF!</v>
      </c>
      <c r="AL33" s="52" t="e">
        <f>IF(AND('Mapa final'!#REF!="Media",'Mapa final'!#REF!="Catastrófico"),CONCATENATE("R8C",'Mapa final'!#REF!),"")</f>
        <v>#REF!</v>
      </c>
      <c r="AM33" s="53" t="e">
        <f>IF(AND('Mapa final'!#REF!="Media",'Mapa final'!#REF!="Catastrófico"),CONCATENATE("R8C",'Mapa final'!#REF!),"")</f>
        <v>#REF!</v>
      </c>
      <c r="AN33" s="80"/>
      <c r="AO33" s="343"/>
      <c r="AP33" s="344"/>
      <c r="AQ33" s="344"/>
      <c r="AR33" s="344"/>
      <c r="AS33" s="344"/>
      <c r="AT33" s="345"/>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row>
    <row r="34" spans="1:80" ht="15" customHeight="1" x14ac:dyDescent="0.45">
      <c r="A34" s="80"/>
      <c r="B34" s="261"/>
      <c r="C34" s="261"/>
      <c r="D34" s="262"/>
      <c r="E34" s="302"/>
      <c r="F34" s="303"/>
      <c r="G34" s="303"/>
      <c r="H34" s="303"/>
      <c r="I34" s="304"/>
      <c r="J34" s="64" t="e">
        <f>IF(AND('Mapa final'!#REF!="Media",'Mapa final'!#REF!="Leve"),CONCATENATE("R9C",'Mapa final'!#REF!),"")</f>
        <v>#REF!</v>
      </c>
      <c r="K34" s="65" t="e">
        <f>IF(AND('Mapa final'!#REF!="Media",'Mapa final'!#REF!="Leve"),CONCATENATE("R9C",'Mapa final'!#REF!),"")</f>
        <v>#REF!</v>
      </c>
      <c r="L34" s="65" t="e">
        <f>IF(AND('Mapa final'!#REF!="Media",'Mapa final'!#REF!="Leve"),CONCATENATE("R9C",'Mapa final'!#REF!),"")</f>
        <v>#REF!</v>
      </c>
      <c r="M34" s="65" t="e">
        <f>IF(AND('Mapa final'!#REF!="Media",'Mapa final'!#REF!="Leve"),CONCATENATE("R9C",'Mapa final'!#REF!),"")</f>
        <v>#REF!</v>
      </c>
      <c r="N34" s="65" t="e">
        <f>IF(AND('Mapa final'!#REF!="Media",'Mapa final'!#REF!="Leve"),CONCATENATE("R9C",'Mapa final'!#REF!),"")</f>
        <v>#REF!</v>
      </c>
      <c r="O34" s="66" t="e">
        <f>IF(AND('Mapa final'!#REF!="Media",'Mapa final'!#REF!="Leve"),CONCATENATE("R9C",'Mapa final'!#REF!),"")</f>
        <v>#REF!</v>
      </c>
      <c r="P34" s="64" t="e">
        <f>IF(AND('Mapa final'!#REF!="Media",'Mapa final'!#REF!="Menor"),CONCATENATE("R9C",'Mapa final'!#REF!),"")</f>
        <v>#REF!</v>
      </c>
      <c r="Q34" s="65" t="e">
        <f>IF(AND('Mapa final'!#REF!="Media",'Mapa final'!#REF!="Menor"),CONCATENATE("R9C",'Mapa final'!#REF!),"")</f>
        <v>#REF!</v>
      </c>
      <c r="R34" s="65" t="e">
        <f>IF(AND('Mapa final'!#REF!="Media",'Mapa final'!#REF!="Menor"),CONCATENATE("R9C",'Mapa final'!#REF!),"")</f>
        <v>#REF!</v>
      </c>
      <c r="S34" s="65" t="e">
        <f>IF(AND('Mapa final'!#REF!="Media",'Mapa final'!#REF!="Menor"),CONCATENATE("R9C",'Mapa final'!#REF!),"")</f>
        <v>#REF!</v>
      </c>
      <c r="T34" s="65" t="e">
        <f>IF(AND('Mapa final'!#REF!="Media",'Mapa final'!#REF!="Menor"),CONCATENATE("R9C",'Mapa final'!#REF!),"")</f>
        <v>#REF!</v>
      </c>
      <c r="U34" s="66" t="e">
        <f>IF(AND('Mapa final'!#REF!="Media",'Mapa final'!#REF!="Menor"),CONCATENATE("R9C",'Mapa final'!#REF!),"")</f>
        <v>#REF!</v>
      </c>
      <c r="V34" s="64" t="e">
        <f>IF(AND('Mapa final'!#REF!="Media",'Mapa final'!#REF!="Moderado"),CONCATENATE("R9C",'Mapa final'!#REF!),"")</f>
        <v>#REF!</v>
      </c>
      <c r="W34" s="65" t="e">
        <f>IF(AND('Mapa final'!#REF!="Media",'Mapa final'!#REF!="Moderado"),CONCATENATE("R9C",'Mapa final'!#REF!),"")</f>
        <v>#REF!</v>
      </c>
      <c r="X34" s="65" t="e">
        <f>IF(AND('Mapa final'!#REF!="Media",'Mapa final'!#REF!="Moderado"),CONCATENATE("R9C",'Mapa final'!#REF!),"")</f>
        <v>#REF!</v>
      </c>
      <c r="Y34" s="65" t="e">
        <f>IF(AND('Mapa final'!#REF!="Media",'Mapa final'!#REF!="Moderado"),CONCATENATE("R9C",'Mapa final'!#REF!),"")</f>
        <v>#REF!</v>
      </c>
      <c r="Z34" s="65" t="e">
        <f>IF(AND('Mapa final'!#REF!="Media",'Mapa final'!#REF!="Moderado"),CONCATENATE("R9C",'Mapa final'!#REF!),"")</f>
        <v>#REF!</v>
      </c>
      <c r="AA34" s="66" t="e">
        <f>IF(AND('Mapa final'!#REF!="Media",'Mapa final'!#REF!="Moderado"),CONCATENATE("R9C",'Mapa final'!#REF!),"")</f>
        <v>#REF!</v>
      </c>
      <c r="AB34" s="48" t="e">
        <f>IF(AND('Mapa final'!#REF!="Media",'Mapa final'!#REF!="Mayor"),CONCATENATE("R9C",'Mapa final'!#REF!),"")</f>
        <v>#REF!</v>
      </c>
      <c r="AC34" s="49" t="e">
        <f>IF(AND('Mapa final'!#REF!="Media",'Mapa final'!#REF!="Mayor"),CONCATENATE("R9C",'Mapa final'!#REF!),"")</f>
        <v>#REF!</v>
      </c>
      <c r="AD34" s="54" t="e">
        <f>IF(AND('Mapa final'!#REF!="Media",'Mapa final'!#REF!="Mayor"),CONCATENATE("R9C",'Mapa final'!#REF!),"")</f>
        <v>#REF!</v>
      </c>
      <c r="AE34" s="54" t="e">
        <f>IF(AND('Mapa final'!#REF!="Media",'Mapa final'!#REF!="Mayor"),CONCATENATE("R9C",'Mapa final'!#REF!),"")</f>
        <v>#REF!</v>
      </c>
      <c r="AF34" s="54" t="e">
        <f>IF(AND('Mapa final'!#REF!="Media",'Mapa final'!#REF!="Mayor"),CONCATENATE("R9C",'Mapa final'!#REF!),"")</f>
        <v>#REF!</v>
      </c>
      <c r="AG34" s="50" t="e">
        <f>IF(AND('Mapa final'!#REF!="Media",'Mapa final'!#REF!="Mayor"),CONCATENATE("R9C",'Mapa final'!#REF!),"")</f>
        <v>#REF!</v>
      </c>
      <c r="AH34" s="51" t="e">
        <f>IF(AND('Mapa final'!#REF!="Media",'Mapa final'!#REF!="Catastrófico"),CONCATENATE("R9C",'Mapa final'!#REF!),"")</f>
        <v>#REF!</v>
      </c>
      <c r="AI34" s="52" t="e">
        <f>IF(AND('Mapa final'!#REF!="Media",'Mapa final'!#REF!="Catastrófico"),CONCATENATE("R9C",'Mapa final'!#REF!),"")</f>
        <v>#REF!</v>
      </c>
      <c r="AJ34" s="52" t="e">
        <f>IF(AND('Mapa final'!#REF!="Media",'Mapa final'!#REF!="Catastrófico"),CONCATENATE("R9C",'Mapa final'!#REF!),"")</f>
        <v>#REF!</v>
      </c>
      <c r="AK34" s="52" t="e">
        <f>IF(AND('Mapa final'!#REF!="Media",'Mapa final'!#REF!="Catastrófico"),CONCATENATE("R9C",'Mapa final'!#REF!),"")</f>
        <v>#REF!</v>
      </c>
      <c r="AL34" s="52" t="e">
        <f>IF(AND('Mapa final'!#REF!="Media",'Mapa final'!#REF!="Catastrófico"),CONCATENATE("R9C",'Mapa final'!#REF!),"")</f>
        <v>#REF!</v>
      </c>
      <c r="AM34" s="53" t="e">
        <f>IF(AND('Mapa final'!#REF!="Media",'Mapa final'!#REF!="Catastrófico"),CONCATENATE("R9C",'Mapa final'!#REF!),"")</f>
        <v>#REF!</v>
      </c>
      <c r="AN34" s="80"/>
      <c r="AO34" s="343"/>
      <c r="AP34" s="344"/>
      <c r="AQ34" s="344"/>
      <c r="AR34" s="344"/>
      <c r="AS34" s="344"/>
      <c r="AT34" s="345"/>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row>
    <row r="35" spans="1:80" ht="15.75" customHeight="1" thickBot="1" x14ac:dyDescent="0.5">
      <c r="A35" s="80"/>
      <c r="B35" s="261"/>
      <c r="C35" s="261"/>
      <c r="D35" s="262"/>
      <c r="E35" s="305"/>
      <c r="F35" s="306"/>
      <c r="G35" s="306"/>
      <c r="H35" s="306"/>
      <c r="I35" s="307"/>
      <c r="J35" s="64" t="e">
        <f>IF(AND('Mapa final'!#REF!="Media",'Mapa final'!#REF!="Leve"),CONCATENATE("R10C",'Mapa final'!#REF!),"")</f>
        <v>#REF!</v>
      </c>
      <c r="K35" s="65" t="e">
        <f>IF(AND('Mapa final'!#REF!="Media",'Mapa final'!#REF!="Leve"),CONCATENATE("R10C",'Mapa final'!#REF!),"")</f>
        <v>#REF!</v>
      </c>
      <c r="L35" s="65" t="e">
        <f>IF(AND('Mapa final'!#REF!="Media",'Mapa final'!#REF!="Leve"),CONCATENATE("R10C",'Mapa final'!#REF!),"")</f>
        <v>#REF!</v>
      </c>
      <c r="M35" s="65" t="e">
        <f>IF(AND('Mapa final'!#REF!="Media",'Mapa final'!#REF!="Leve"),CONCATENATE("R10C",'Mapa final'!#REF!),"")</f>
        <v>#REF!</v>
      </c>
      <c r="N35" s="65" t="e">
        <f>IF(AND('Mapa final'!#REF!="Media",'Mapa final'!#REF!="Leve"),CONCATENATE("R10C",'Mapa final'!#REF!),"")</f>
        <v>#REF!</v>
      </c>
      <c r="O35" s="66" t="e">
        <f>IF(AND('Mapa final'!#REF!="Media",'Mapa final'!#REF!="Leve"),CONCATENATE("R10C",'Mapa final'!#REF!),"")</f>
        <v>#REF!</v>
      </c>
      <c r="P35" s="64" t="e">
        <f>IF(AND('Mapa final'!#REF!="Media",'Mapa final'!#REF!="Menor"),CONCATENATE("R10C",'Mapa final'!#REF!),"")</f>
        <v>#REF!</v>
      </c>
      <c r="Q35" s="65" t="e">
        <f>IF(AND('Mapa final'!#REF!="Media",'Mapa final'!#REF!="Menor"),CONCATENATE("R10C",'Mapa final'!#REF!),"")</f>
        <v>#REF!</v>
      </c>
      <c r="R35" s="65" t="e">
        <f>IF(AND('Mapa final'!#REF!="Media",'Mapa final'!#REF!="Menor"),CONCATENATE("R10C",'Mapa final'!#REF!),"")</f>
        <v>#REF!</v>
      </c>
      <c r="S35" s="65" t="e">
        <f>IF(AND('Mapa final'!#REF!="Media",'Mapa final'!#REF!="Menor"),CONCATENATE("R10C",'Mapa final'!#REF!),"")</f>
        <v>#REF!</v>
      </c>
      <c r="T35" s="65" t="e">
        <f>IF(AND('Mapa final'!#REF!="Media",'Mapa final'!#REF!="Menor"),CONCATENATE("R10C",'Mapa final'!#REF!),"")</f>
        <v>#REF!</v>
      </c>
      <c r="U35" s="66" t="e">
        <f>IF(AND('Mapa final'!#REF!="Media",'Mapa final'!#REF!="Menor"),CONCATENATE("R10C",'Mapa final'!#REF!),"")</f>
        <v>#REF!</v>
      </c>
      <c r="V35" s="64" t="e">
        <f>IF(AND('Mapa final'!#REF!="Media",'Mapa final'!#REF!="Moderado"),CONCATENATE("R10C",'Mapa final'!#REF!),"")</f>
        <v>#REF!</v>
      </c>
      <c r="W35" s="65" t="e">
        <f>IF(AND('Mapa final'!#REF!="Media",'Mapa final'!#REF!="Moderado"),CONCATENATE("R10C",'Mapa final'!#REF!),"")</f>
        <v>#REF!</v>
      </c>
      <c r="X35" s="65" t="e">
        <f>IF(AND('Mapa final'!#REF!="Media",'Mapa final'!#REF!="Moderado"),CONCATENATE("R10C",'Mapa final'!#REF!),"")</f>
        <v>#REF!</v>
      </c>
      <c r="Y35" s="65" t="e">
        <f>IF(AND('Mapa final'!#REF!="Media",'Mapa final'!#REF!="Moderado"),CONCATENATE("R10C",'Mapa final'!#REF!),"")</f>
        <v>#REF!</v>
      </c>
      <c r="Z35" s="65" t="e">
        <f>IF(AND('Mapa final'!#REF!="Media",'Mapa final'!#REF!="Moderado"),CONCATENATE("R10C",'Mapa final'!#REF!),"")</f>
        <v>#REF!</v>
      </c>
      <c r="AA35" s="66" t="e">
        <f>IF(AND('Mapa final'!#REF!="Media",'Mapa final'!#REF!="Moderado"),CONCATENATE("R10C",'Mapa final'!#REF!),"")</f>
        <v>#REF!</v>
      </c>
      <c r="AB35" s="55" t="e">
        <f>IF(AND('Mapa final'!#REF!="Media",'Mapa final'!#REF!="Mayor"),CONCATENATE("R10C",'Mapa final'!#REF!),"")</f>
        <v>#REF!</v>
      </c>
      <c r="AC35" s="56" t="e">
        <f>IF(AND('Mapa final'!#REF!="Media",'Mapa final'!#REF!="Mayor"),CONCATENATE("R10C",'Mapa final'!#REF!),"")</f>
        <v>#REF!</v>
      </c>
      <c r="AD35" s="56" t="e">
        <f>IF(AND('Mapa final'!#REF!="Media",'Mapa final'!#REF!="Mayor"),CONCATENATE("R10C",'Mapa final'!#REF!),"")</f>
        <v>#REF!</v>
      </c>
      <c r="AE35" s="56" t="e">
        <f>IF(AND('Mapa final'!#REF!="Media",'Mapa final'!#REF!="Mayor"),CONCATENATE("R10C",'Mapa final'!#REF!),"")</f>
        <v>#REF!</v>
      </c>
      <c r="AF35" s="56" t="e">
        <f>IF(AND('Mapa final'!#REF!="Media",'Mapa final'!#REF!="Mayor"),CONCATENATE("R10C",'Mapa final'!#REF!),"")</f>
        <v>#REF!</v>
      </c>
      <c r="AG35" s="57" t="e">
        <f>IF(AND('Mapa final'!#REF!="Media",'Mapa final'!#REF!="Mayor"),CONCATENATE("R10C",'Mapa final'!#REF!),"")</f>
        <v>#REF!</v>
      </c>
      <c r="AH35" s="58" t="e">
        <f>IF(AND('Mapa final'!#REF!="Media",'Mapa final'!#REF!="Catastrófico"),CONCATENATE("R10C",'Mapa final'!#REF!),"")</f>
        <v>#REF!</v>
      </c>
      <c r="AI35" s="59" t="e">
        <f>IF(AND('Mapa final'!#REF!="Media",'Mapa final'!#REF!="Catastrófico"),CONCATENATE("R10C",'Mapa final'!#REF!),"")</f>
        <v>#REF!</v>
      </c>
      <c r="AJ35" s="59" t="e">
        <f>IF(AND('Mapa final'!#REF!="Media",'Mapa final'!#REF!="Catastrófico"),CONCATENATE("R10C",'Mapa final'!#REF!),"")</f>
        <v>#REF!</v>
      </c>
      <c r="AK35" s="59" t="e">
        <f>IF(AND('Mapa final'!#REF!="Media",'Mapa final'!#REF!="Catastrófico"),CONCATENATE("R10C",'Mapa final'!#REF!),"")</f>
        <v>#REF!</v>
      </c>
      <c r="AL35" s="59" t="e">
        <f>IF(AND('Mapa final'!#REF!="Media",'Mapa final'!#REF!="Catastrófico"),CONCATENATE("R10C",'Mapa final'!#REF!),"")</f>
        <v>#REF!</v>
      </c>
      <c r="AM35" s="60" t="e">
        <f>IF(AND('Mapa final'!#REF!="Media",'Mapa final'!#REF!="Catastrófico"),CONCATENATE("R10C",'Mapa final'!#REF!),"")</f>
        <v>#REF!</v>
      </c>
      <c r="AN35" s="80"/>
      <c r="AO35" s="346"/>
      <c r="AP35" s="347"/>
      <c r="AQ35" s="347"/>
      <c r="AR35" s="347"/>
      <c r="AS35" s="347"/>
      <c r="AT35" s="348"/>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row>
    <row r="36" spans="1:80" ht="15" customHeight="1" x14ac:dyDescent="0.45">
      <c r="A36" s="80"/>
      <c r="B36" s="261"/>
      <c r="C36" s="261"/>
      <c r="D36" s="262"/>
      <c r="E36" s="299" t="s">
        <v>113</v>
      </c>
      <c r="F36" s="300"/>
      <c r="G36" s="300"/>
      <c r="H36" s="300"/>
      <c r="I36" s="300"/>
      <c r="J36" s="70" t="str">
        <f ca="1">IF(AND('Mapa final'!$Y$10="Baja",'Mapa final'!$AA$10="Leve"),CONCATENATE("R1C",'Mapa final'!$O$10),"")</f>
        <v/>
      </c>
      <c r="K36" s="71" t="e">
        <f>IF(AND('Mapa final'!#REF!="Baja",'Mapa final'!#REF!="Leve"),CONCATENATE("R1C",'Mapa final'!#REF!),"")</f>
        <v>#REF!</v>
      </c>
      <c r="L36" s="71" t="e">
        <f>IF(AND('Mapa final'!#REF!="Baja",'Mapa final'!#REF!="Leve"),CONCATENATE("R1C",'Mapa final'!#REF!),"")</f>
        <v>#REF!</v>
      </c>
      <c r="M36" s="71" t="e">
        <f>IF(AND('Mapa final'!#REF!="Baja",'Mapa final'!#REF!="Leve"),CONCATENATE("R1C",'Mapa final'!#REF!),"")</f>
        <v>#REF!</v>
      </c>
      <c r="N36" s="71" t="e">
        <f>IF(AND('Mapa final'!#REF!="Baja",'Mapa final'!#REF!="Leve"),CONCATENATE("R1C",'Mapa final'!#REF!),"")</f>
        <v>#REF!</v>
      </c>
      <c r="O36" s="72" t="e">
        <f>IF(AND('Mapa final'!#REF!="Baja",'Mapa final'!#REF!="Leve"),CONCATENATE("R1C",'Mapa final'!#REF!),"")</f>
        <v>#REF!</v>
      </c>
      <c r="P36" s="61" t="str">
        <f ca="1">IF(AND('Mapa final'!$Y$10="Baja",'Mapa final'!$AA$10="Menor"),CONCATENATE("R1C",'Mapa final'!$O$10),"")</f>
        <v/>
      </c>
      <c r="Q36" s="62" t="e">
        <f>IF(AND('Mapa final'!#REF!="Baja",'Mapa final'!#REF!="Menor"),CONCATENATE("R1C",'Mapa final'!#REF!),"")</f>
        <v>#REF!</v>
      </c>
      <c r="R36" s="62" t="e">
        <f>IF(AND('Mapa final'!#REF!="Baja",'Mapa final'!#REF!="Menor"),CONCATENATE("R1C",'Mapa final'!#REF!),"")</f>
        <v>#REF!</v>
      </c>
      <c r="S36" s="62" t="e">
        <f>IF(AND('Mapa final'!#REF!="Baja",'Mapa final'!#REF!="Menor"),CONCATENATE("R1C",'Mapa final'!#REF!),"")</f>
        <v>#REF!</v>
      </c>
      <c r="T36" s="62" t="e">
        <f>IF(AND('Mapa final'!#REF!="Baja",'Mapa final'!#REF!="Menor"),CONCATENATE("R1C",'Mapa final'!#REF!),"")</f>
        <v>#REF!</v>
      </c>
      <c r="U36" s="63" t="e">
        <f>IF(AND('Mapa final'!#REF!="Baja",'Mapa final'!#REF!="Menor"),CONCATENATE("R1C",'Mapa final'!#REF!),"")</f>
        <v>#REF!</v>
      </c>
      <c r="V36" s="61" t="str">
        <f ca="1">IF(AND('Mapa final'!$Y$10="Baja",'Mapa final'!$AA$10="Moderado"),CONCATENATE("R1C",'Mapa final'!$O$10),"")</f>
        <v/>
      </c>
      <c r="W36" s="62" t="e">
        <f>IF(AND('Mapa final'!#REF!="Baja",'Mapa final'!#REF!="Moderado"),CONCATENATE("R1C",'Mapa final'!#REF!),"")</f>
        <v>#REF!</v>
      </c>
      <c r="X36" s="62" t="e">
        <f>IF(AND('Mapa final'!#REF!="Baja",'Mapa final'!#REF!="Moderado"),CONCATENATE("R1C",'Mapa final'!#REF!),"")</f>
        <v>#REF!</v>
      </c>
      <c r="Y36" s="62" t="e">
        <f>IF(AND('Mapa final'!#REF!="Baja",'Mapa final'!#REF!="Moderado"),CONCATENATE("R1C",'Mapa final'!#REF!),"")</f>
        <v>#REF!</v>
      </c>
      <c r="Z36" s="62" t="e">
        <f>IF(AND('Mapa final'!#REF!="Baja",'Mapa final'!#REF!="Moderado"),CONCATENATE("R1C",'Mapa final'!#REF!),"")</f>
        <v>#REF!</v>
      </c>
      <c r="AA36" s="63" t="e">
        <f>IF(AND('Mapa final'!#REF!="Baja",'Mapa final'!#REF!="Moderado"),CONCATENATE("R1C",'Mapa final'!#REF!),"")</f>
        <v>#REF!</v>
      </c>
      <c r="AB36" s="42" t="str">
        <f ca="1">IF(AND('Mapa final'!$Y$10="Baja",'Mapa final'!$AA$10="Mayor"),CONCATENATE("R1C",'Mapa final'!$O$10),"")</f>
        <v/>
      </c>
      <c r="AC36" s="43" t="e">
        <f>IF(AND('Mapa final'!#REF!="Baja",'Mapa final'!#REF!="Mayor"),CONCATENATE("R1C",'Mapa final'!#REF!),"")</f>
        <v>#REF!</v>
      </c>
      <c r="AD36" s="43" t="e">
        <f>IF(AND('Mapa final'!#REF!="Baja",'Mapa final'!#REF!="Mayor"),CONCATENATE("R1C",'Mapa final'!#REF!),"")</f>
        <v>#REF!</v>
      </c>
      <c r="AE36" s="43" t="e">
        <f>IF(AND('Mapa final'!#REF!="Baja",'Mapa final'!#REF!="Mayor"),CONCATENATE("R1C",'Mapa final'!#REF!),"")</f>
        <v>#REF!</v>
      </c>
      <c r="AF36" s="43" t="e">
        <f>IF(AND('Mapa final'!#REF!="Baja",'Mapa final'!#REF!="Mayor"),CONCATENATE("R1C",'Mapa final'!#REF!),"")</f>
        <v>#REF!</v>
      </c>
      <c r="AG36" s="44" t="e">
        <f>IF(AND('Mapa final'!#REF!="Baja",'Mapa final'!#REF!="Mayor"),CONCATENATE("R1C",'Mapa final'!#REF!),"")</f>
        <v>#REF!</v>
      </c>
      <c r="AH36" s="45" t="str">
        <f ca="1">IF(AND('Mapa final'!$Y$10="Baja",'Mapa final'!$AA$10="Catastrófico"),CONCATENATE("R1C",'Mapa final'!$O$10),"")</f>
        <v/>
      </c>
      <c r="AI36" s="46" t="e">
        <f>IF(AND('Mapa final'!#REF!="Baja",'Mapa final'!#REF!="Catastrófico"),CONCATENATE("R1C",'Mapa final'!#REF!),"")</f>
        <v>#REF!</v>
      </c>
      <c r="AJ36" s="46" t="e">
        <f>IF(AND('Mapa final'!#REF!="Baja",'Mapa final'!#REF!="Catastrófico"),CONCATENATE("R1C",'Mapa final'!#REF!),"")</f>
        <v>#REF!</v>
      </c>
      <c r="AK36" s="46" t="e">
        <f>IF(AND('Mapa final'!#REF!="Baja",'Mapa final'!#REF!="Catastrófico"),CONCATENATE("R1C",'Mapa final'!#REF!),"")</f>
        <v>#REF!</v>
      </c>
      <c r="AL36" s="46" t="e">
        <f>IF(AND('Mapa final'!#REF!="Baja",'Mapa final'!#REF!="Catastrófico"),CONCATENATE("R1C",'Mapa final'!#REF!),"")</f>
        <v>#REF!</v>
      </c>
      <c r="AM36" s="47" t="e">
        <f>IF(AND('Mapa final'!#REF!="Baja",'Mapa final'!#REF!="Catastrófico"),CONCATENATE("R1C",'Mapa final'!#REF!),"")</f>
        <v>#REF!</v>
      </c>
      <c r="AN36" s="80"/>
      <c r="AO36" s="331" t="s">
        <v>81</v>
      </c>
      <c r="AP36" s="332"/>
      <c r="AQ36" s="332"/>
      <c r="AR36" s="332"/>
      <c r="AS36" s="332"/>
      <c r="AT36" s="333"/>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row>
    <row r="37" spans="1:80" ht="15" customHeight="1" x14ac:dyDescent="0.45">
      <c r="A37" s="80"/>
      <c r="B37" s="261"/>
      <c r="C37" s="261"/>
      <c r="D37" s="262"/>
      <c r="E37" s="318"/>
      <c r="F37" s="319"/>
      <c r="G37" s="319"/>
      <c r="H37" s="319"/>
      <c r="I37" s="319"/>
      <c r="J37" s="73" t="str">
        <f ca="1">IF(AND('Mapa final'!$Y$11="Baja",'Mapa final'!$AA$11="Leve"),CONCATENATE("R2C",'Mapa final'!$O$11),"")</f>
        <v/>
      </c>
      <c r="K37" s="74" t="str">
        <f ca="1">IF(AND('Mapa final'!$Y$12="Baja",'Mapa final'!$AA$12="Leve"),CONCATENATE("R2C",'Mapa final'!$O$12),"")</f>
        <v/>
      </c>
      <c r="L37" s="74" t="str">
        <f ca="1">IF(AND('Mapa final'!$Y$13="Baja",'Mapa final'!$AA$13="Leve"),CONCATENATE("R2C",'Mapa final'!$O$13),"")</f>
        <v/>
      </c>
      <c r="M37" s="74" t="str">
        <f ca="1">IF(AND('Mapa final'!$Y$14="Baja",'Mapa final'!$AA$14="Leve"),CONCATENATE("R2C",'Mapa final'!$O$14),"")</f>
        <v/>
      </c>
      <c r="N37" s="74" t="e">
        <f>IF(AND('Mapa final'!#REF!="Baja",'Mapa final'!#REF!="Leve"),CONCATENATE("R2C",'Mapa final'!#REF!),"")</f>
        <v>#REF!</v>
      </c>
      <c r="O37" s="75" t="e">
        <f>IF(AND('Mapa final'!#REF!="Baja",'Mapa final'!#REF!="Leve"),CONCATENATE("R2C",'Mapa final'!#REF!),"")</f>
        <v>#REF!</v>
      </c>
      <c r="P37" s="64" t="str">
        <f ca="1">IF(AND('Mapa final'!$Y$11="Baja",'Mapa final'!$AA$11="Menor"),CONCATENATE("R2C",'Mapa final'!$O$11),"")</f>
        <v/>
      </c>
      <c r="Q37" s="65" t="str">
        <f ca="1">IF(AND('Mapa final'!$Y$12="Baja",'Mapa final'!$AA$12="Menor"),CONCATENATE("R2C",'Mapa final'!$O$12),"")</f>
        <v/>
      </c>
      <c r="R37" s="65" t="str">
        <f ca="1">IF(AND('Mapa final'!$Y$13="Baja",'Mapa final'!$AA$13="Menor"),CONCATENATE("R2C",'Mapa final'!$O$13),"")</f>
        <v/>
      </c>
      <c r="S37" s="65" t="str">
        <f ca="1">IF(AND('Mapa final'!$Y$14="Baja",'Mapa final'!$AA$14="Menor"),CONCATENATE("R2C",'Mapa final'!$O$14),"")</f>
        <v/>
      </c>
      <c r="T37" s="65" t="e">
        <f>IF(AND('Mapa final'!#REF!="Baja",'Mapa final'!#REF!="Menor"),CONCATENATE("R2C",'Mapa final'!#REF!),"")</f>
        <v>#REF!</v>
      </c>
      <c r="U37" s="66" t="e">
        <f>IF(AND('Mapa final'!#REF!="Baja",'Mapa final'!#REF!="Menor"),CONCATENATE("R2C",'Mapa final'!#REF!),"")</f>
        <v>#REF!</v>
      </c>
      <c r="V37" s="64" t="str">
        <f ca="1">IF(AND('Mapa final'!$Y$11="Baja",'Mapa final'!$AA$11="Moderado"),CONCATENATE("R2C",'Mapa final'!$O$11),"")</f>
        <v/>
      </c>
      <c r="W37" s="65" t="str">
        <f ca="1">IF(AND('Mapa final'!$Y$12="Baja",'Mapa final'!$AA$12="Moderado"),CONCATENATE("R2C",'Mapa final'!$O$12),"")</f>
        <v/>
      </c>
      <c r="X37" s="65" t="str">
        <f ca="1">IF(AND('Mapa final'!$Y$13="Baja",'Mapa final'!$AA$13="Moderado"),CONCATENATE("R2C",'Mapa final'!$O$13),"")</f>
        <v/>
      </c>
      <c r="Y37" s="65" t="str">
        <f ca="1">IF(AND('Mapa final'!$Y$14="Baja",'Mapa final'!$AA$14="Moderado"),CONCATENATE("R2C",'Mapa final'!$O$14),"")</f>
        <v/>
      </c>
      <c r="Z37" s="65" t="e">
        <f>IF(AND('Mapa final'!#REF!="Baja",'Mapa final'!#REF!="Moderado"),CONCATENATE("R2C",'Mapa final'!#REF!),"")</f>
        <v>#REF!</v>
      </c>
      <c r="AA37" s="66" t="e">
        <f>IF(AND('Mapa final'!#REF!="Baja",'Mapa final'!#REF!="Moderado"),CONCATENATE("R2C",'Mapa final'!#REF!),"")</f>
        <v>#REF!</v>
      </c>
      <c r="AB37" s="48" t="str">
        <f ca="1">IF(AND('Mapa final'!$Y$11="Baja",'Mapa final'!$AA$11="Mayor"),CONCATENATE("R2C",'Mapa final'!$O$11),"")</f>
        <v>R2C1</v>
      </c>
      <c r="AC37" s="49" t="str">
        <f ca="1">IF(AND('Mapa final'!$Y$12="Baja",'Mapa final'!$AA$12="Mayor"),CONCATENATE("R2C",'Mapa final'!$O$12),"")</f>
        <v>R2C2</v>
      </c>
      <c r="AD37" s="49" t="str">
        <f ca="1">IF(AND('Mapa final'!$Y$13="Baja",'Mapa final'!$AA$13="Mayor"),CONCATENATE("R2C",'Mapa final'!$O$13),"")</f>
        <v/>
      </c>
      <c r="AE37" s="49" t="str">
        <f ca="1">IF(AND('Mapa final'!$Y$14="Baja",'Mapa final'!$AA$14="Mayor"),CONCATENATE("R2C",'Mapa final'!$O$14),"")</f>
        <v/>
      </c>
      <c r="AF37" s="49" t="e">
        <f>IF(AND('Mapa final'!#REF!="Baja",'Mapa final'!#REF!="Mayor"),CONCATENATE("R2C",'Mapa final'!#REF!),"")</f>
        <v>#REF!</v>
      </c>
      <c r="AG37" s="50" t="e">
        <f>IF(AND('Mapa final'!#REF!="Baja",'Mapa final'!#REF!="Mayor"),CONCATENATE("R2C",'Mapa final'!#REF!),"")</f>
        <v>#REF!</v>
      </c>
      <c r="AH37" s="51" t="str">
        <f ca="1">IF(AND('Mapa final'!$Y$11="Baja",'Mapa final'!$AA$11="Catastrófico"),CONCATENATE("R2C",'Mapa final'!$O$11),"")</f>
        <v/>
      </c>
      <c r="AI37" s="52" t="str">
        <f ca="1">IF(AND('Mapa final'!$Y$12="Baja",'Mapa final'!$AA$12="Catastrófico"),CONCATENATE("R2C",'Mapa final'!$O$12),"")</f>
        <v/>
      </c>
      <c r="AJ37" s="52" t="str">
        <f ca="1">IF(AND('Mapa final'!$Y$13="Baja",'Mapa final'!$AA$13="Catastrófico"),CONCATENATE("R2C",'Mapa final'!$O$13),"")</f>
        <v/>
      </c>
      <c r="AK37" s="52" t="str">
        <f ca="1">IF(AND('Mapa final'!$Y$14="Baja",'Mapa final'!$AA$14="Catastrófico"),CONCATENATE("R2C",'Mapa final'!$O$14),"")</f>
        <v/>
      </c>
      <c r="AL37" s="52" t="e">
        <f>IF(AND('Mapa final'!#REF!="Baja",'Mapa final'!#REF!="Catastrófico"),CONCATENATE("R2C",'Mapa final'!#REF!),"")</f>
        <v>#REF!</v>
      </c>
      <c r="AM37" s="53" t="e">
        <f>IF(AND('Mapa final'!#REF!="Baja",'Mapa final'!#REF!="Catastrófico"),CONCATENATE("R2C",'Mapa final'!#REF!),"")</f>
        <v>#REF!</v>
      </c>
      <c r="AN37" s="80"/>
      <c r="AO37" s="334"/>
      <c r="AP37" s="335"/>
      <c r="AQ37" s="335"/>
      <c r="AR37" s="335"/>
      <c r="AS37" s="335"/>
      <c r="AT37" s="336"/>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row>
    <row r="38" spans="1:80" ht="15" customHeight="1" x14ac:dyDescent="0.45">
      <c r="A38" s="80"/>
      <c r="B38" s="261"/>
      <c r="C38" s="261"/>
      <c r="D38" s="262"/>
      <c r="E38" s="302"/>
      <c r="F38" s="303"/>
      <c r="G38" s="303"/>
      <c r="H38" s="303"/>
      <c r="I38" s="319"/>
      <c r="J38" s="73" t="str">
        <f ca="1">IF(AND('Mapa final'!$Y$15="Baja",'Mapa final'!$AA$15="Leve"),CONCATENATE("R3C",'Mapa final'!$O$15),"")</f>
        <v/>
      </c>
      <c r="K38" s="74" t="str">
        <f ca="1">IF(AND('Mapa final'!$Y$16="Baja",'Mapa final'!$AA$16="Leve"),CONCATENATE("R3C",'Mapa final'!$O$16),"")</f>
        <v/>
      </c>
      <c r="L38" s="74" t="e">
        <f>IF(AND('Mapa final'!#REF!="Baja",'Mapa final'!#REF!="Leve"),CONCATENATE("R3C",'Mapa final'!#REF!),"")</f>
        <v>#REF!</v>
      </c>
      <c r="M38" s="74" t="e">
        <f>IF(AND('Mapa final'!#REF!="Baja",'Mapa final'!#REF!="Leve"),CONCATENATE("R3C",'Mapa final'!#REF!),"")</f>
        <v>#REF!</v>
      </c>
      <c r="N38" s="74" t="e">
        <f>IF(AND('Mapa final'!#REF!="Baja",'Mapa final'!#REF!="Leve"),CONCATENATE("R3C",'Mapa final'!#REF!),"")</f>
        <v>#REF!</v>
      </c>
      <c r="O38" s="75" t="e">
        <f>IF(AND('Mapa final'!#REF!="Baja",'Mapa final'!#REF!="Leve"),CONCATENATE("R3C",'Mapa final'!#REF!),"")</f>
        <v>#REF!</v>
      </c>
      <c r="P38" s="64" t="str">
        <f ca="1">IF(AND('Mapa final'!$Y$15="Baja",'Mapa final'!$AA$15="Menor"),CONCATENATE("R3C",'Mapa final'!$O$15),"")</f>
        <v/>
      </c>
      <c r="Q38" s="65" t="str">
        <f ca="1">IF(AND('Mapa final'!$Y$16="Baja",'Mapa final'!$AA$16="Menor"),CONCATENATE("R3C",'Mapa final'!$O$16),"")</f>
        <v/>
      </c>
      <c r="R38" s="65" t="e">
        <f>IF(AND('Mapa final'!#REF!="Baja",'Mapa final'!#REF!="Menor"),CONCATENATE("R3C",'Mapa final'!#REF!),"")</f>
        <v>#REF!</v>
      </c>
      <c r="S38" s="65" t="e">
        <f>IF(AND('Mapa final'!#REF!="Baja",'Mapa final'!#REF!="Menor"),CONCATENATE("R3C",'Mapa final'!#REF!),"")</f>
        <v>#REF!</v>
      </c>
      <c r="T38" s="65" t="e">
        <f>IF(AND('Mapa final'!#REF!="Baja",'Mapa final'!#REF!="Menor"),CONCATENATE("R3C",'Mapa final'!#REF!),"")</f>
        <v>#REF!</v>
      </c>
      <c r="U38" s="66" t="e">
        <f>IF(AND('Mapa final'!#REF!="Baja",'Mapa final'!#REF!="Menor"),CONCATENATE("R3C",'Mapa final'!#REF!),"")</f>
        <v>#REF!</v>
      </c>
      <c r="V38" s="64" t="str">
        <f ca="1">IF(AND('Mapa final'!$Y$15="Baja",'Mapa final'!$AA$15="Moderado"),CONCATENATE("R3C",'Mapa final'!$O$15),"")</f>
        <v>R3C1</v>
      </c>
      <c r="W38" s="65" t="str">
        <f ca="1">IF(AND('Mapa final'!$Y$16="Baja",'Mapa final'!$AA$16="Moderado"),CONCATENATE("R3C",'Mapa final'!$O$16),"")</f>
        <v>R3C2</v>
      </c>
      <c r="X38" s="65" t="e">
        <f>IF(AND('Mapa final'!#REF!="Baja",'Mapa final'!#REF!="Moderado"),CONCATENATE("R3C",'Mapa final'!#REF!),"")</f>
        <v>#REF!</v>
      </c>
      <c r="Y38" s="65" t="e">
        <f>IF(AND('Mapa final'!#REF!="Baja",'Mapa final'!#REF!="Moderado"),CONCATENATE("R3C",'Mapa final'!#REF!),"")</f>
        <v>#REF!</v>
      </c>
      <c r="Z38" s="65" t="e">
        <f>IF(AND('Mapa final'!#REF!="Baja",'Mapa final'!#REF!="Moderado"),CONCATENATE("R3C",'Mapa final'!#REF!),"")</f>
        <v>#REF!</v>
      </c>
      <c r="AA38" s="66" t="e">
        <f>IF(AND('Mapa final'!#REF!="Baja",'Mapa final'!#REF!="Moderado"),CONCATENATE("R3C",'Mapa final'!#REF!),"")</f>
        <v>#REF!</v>
      </c>
      <c r="AB38" s="48" t="str">
        <f ca="1">IF(AND('Mapa final'!$Y$15="Baja",'Mapa final'!$AA$15="Mayor"),CONCATENATE("R3C",'Mapa final'!$O$15),"")</f>
        <v/>
      </c>
      <c r="AC38" s="49" t="str">
        <f ca="1">IF(AND('Mapa final'!$Y$16="Baja",'Mapa final'!$AA$16="Mayor"),CONCATENATE("R3C",'Mapa final'!$O$16),"")</f>
        <v/>
      </c>
      <c r="AD38" s="49" t="e">
        <f>IF(AND('Mapa final'!#REF!="Baja",'Mapa final'!#REF!="Mayor"),CONCATENATE("R3C",'Mapa final'!#REF!),"")</f>
        <v>#REF!</v>
      </c>
      <c r="AE38" s="49" t="e">
        <f>IF(AND('Mapa final'!#REF!="Baja",'Mapa final'!#REF!="Mayor"),CONCATENATE("R3C",'Mapa final'!#REF!),"")</f>
        <v>#REF!</v>
      </c>
      <c r="AF38" s="49" t="e">
        <f>IF(AND('Mapa final'!#REF!="Baja",'Mapa final'!#REF!="Mayor"),CONCATENATE("R3C",'Mapa final'!#REF!),"")</f>
        <v>#REF!</v>
      </c>
      <c r="AG38" s="50" t="e">
        <f>IF(AND('Mapa final'!#REF!="Baja",'Mapa final'!#REF!="Mayor"),CONCATENATE("R3C",'Mapa final'!#REF!),"")</f>
        <v>#REF!</v>
      </c>
      <c r="AH38" s="51" t="str">
        <f ca="1">IF(AND('Mapa final'!$Y$15="Baja",'Mapa final'!$AA$15="Catastrófico"),CONCATENATE("R3C",'Mapa final'!$O$15),"")</f>
        <v/>
      </c>
      <c r="AI38" s="52" t="str">
        <f ca="1">IF(AND('Mapa final'!$Y$16="Baja",'Mapa final'!$AA$16="Catastrófico"),CONCATENATE("R3C",'Mapa final'!$O$16),"")</f>
        <v/>
      </c>
      <c r="AJ38" s="52" t="e">
        <f>IF(AND('Mapa final'!#REF!="Baja",'Mapa final'!#REF!="Catastrófico"),CONCATENATE("R3C",'Mapa final'!#REF!),"")</f>
        <v>#REF!</v>
      </c>
      <c r="AK38" s="52" t="e">
        <f>IF(AND('Mapa final'!#REF!="Baja",'Mapa final'!#REF!="Catastrófico"),CONCATENATE("R3C",'Mapa final'!#REF!),"")</f>
        <v>#REF!</v>
      </c>
      <c r="AL38" s="52" t="e">
        <f>IF(AND('Mapa final'!#REF!="Baja",'Mapa final'!#REF!="Catastrófico"),CONCATENATE("R3C",'Mapa final'!#REF!),"")</f>
        <v>#REF!</v>
      </c>
      <c r="AM38" s="53" t="e">
        <f>IF(AND('Mapa final'!#REF!="Baja",'Mapa final'!#REF!="Catastrófico"),CONCATENATE("R3C",'Mapa final'!#REF!),"")</f>
        <v>#REF!</v>
      </c>
      <c r="AN38" s="80"/>
      <c r="AO38" s="334"/>
      <c r="AP38" s="335"/>
      <c r="AQ38" s="335"/>
      <c r="AR38" s="335"/>
      <c r="AS38" s="335"/>
      <c r="AT38" s="336"/>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row>
    <row r="39" spans="1:80" ht="15" customHeight="1" x14ac:dyDescent="0.45">
      <c r="A39" s="80"/>
      <c r="B39" s="261"/>
      <c r="C39" s="261"/>
      <c r="D39" s="262"/>
      <c r="E39" s="302"/>
      <c r="F39" s="303"/>
      <c r="G39" s="303"/>
      <c r="H39" s="303"/>
      <c r="I39" s="319"/>
      <c r="J39" s="73" t="str">
        <f ca="1">IF(AND('Mapa final'!$Y$17="Baja",'Mapa final'!$AA$17="Leve"),CONCATENATE("R4C",'Mapa final'!$O$17),"")</f>
        <v/>
      </c>
      <c r="K39" s="74" t="e">
        <f>IF(AND('Mapa final'!#REF!="Baja",'Mapa final'!#REF!="Leve"),CONCATENATE("R4C",'Mapa final'!#REF!),"")</f>
        <v>#REF!</v>
      </c>
      <c r="L39" s="74" t="e">
        <f>IF(AND('Mapa final'!#REF!="Baja",'Mapa final'!#REF!="Leve"),CONCATENATE("R4C",'Mapa final'!#REF!),"")</f>
        <v>#REF!</v>
      </c>
      <c r="M39" s="74" t="e">
        <f>IF(AND('Mapa final'!#REF!="Baja",'Mapa final'!#REF!="Leve"),CONCATENATE("R4C",'Mapa final'!#REF!),"")</f>
        <v>#REF!</v>
      </c>
      <c r="N39" s="74" t="e">
        <f>IF(AND('Mapa final'!#REF!="Baja",'Mapa final'!#REF!="Leve"),CONCATENATE("R4C",'Mapa final'!#REF!),"")</f>
        <v>#REF!</v>
      </c>
      <c r="O39" s="75" t="e">
        <f>IF(AND('Mapa final'!#REF!="Baja",'Mapa final'!#REF!="Leve"),CONCATENATE("R4C",'Mapa final'!#REF!),"")</f>
        <v>#REF!</v>
      </c>
      <c r="P39" s="64" t="str">
        <f ca="1">IF(AND('Mapa final'!$Y$17="Baja",'Mapa final'!$AA$17="Menor"),CONCATENATE("R4C",'Mapa final'!$O$17),"")</f>
        <v/>
      </c>
      <c r="Q39" s="65" t="e">
        <f>IF(AND('Mapa final'!#REF!="Baja",'Mapa final'!#REF!="Menor"),CONCATENATE("R4C",'Mapa final'!#REF!),"")</f>
        <v>#REF!</v>
      </c>
      <c r="R39" s="65" t="e">
        <f>IF(AND('Mapa final'!#REF!="Baja",'Mapa final'!#REF!="Menor"),CONCATENATE("R4C",'Mapa final'!#REF!),"")</f>
        <v>#REF!</v>
      </c>
      <c r="S39" s="65" t="e">
        <f>IF(AND('Mapa final'!#REF!="Baja",'Mapa final'!#REF!="Menor"),CONCATENATE("R4C",'Mapa final'!#REF!),"")</f>
        <v>#REF!</v>
      </c>
      <c r="T39" s="65" t="e">
        <f>IF(AND('Mapa final'!#REF!="Baja",'Mapa final'!#REF!="Menor"),CONCATENATE("R4C",'Mapa final'!#REF!),"")</f>
        <v>#REF!</v>
      </c>
      <c r="U39" s="66" t="e">
        <f>IF(AND('Mapa final'!#REF!="Baja",'Mapa final'!#REF!="Menor"),CONCATENATE("R4C",'Mapa final'!#REF!),"")</f>
        <v>#REF!</v>
      </c>
      <c r="V39" s="64" t="str">
        <f ca="1">IF(AND('Mapa final'!$Y$17="Baja",'Mapa final'!$AA$17="Moderado"),CONCATENATE("R4C",'Mapa final'!$O$17),"")</f>
        <v/>
      </c>
      <c r="W39" s="65" t="e">
        <f>IF(AND('Mapa final'!#REF!="Baja",'Mapa final'!#REF!="Moderado"),CONCATENATE("R4C",'Mapa final'!#REF!),"")</f>
        <v>#REF!</v>
      </c>
      <c r="X39" s="65" t="e">
        <f>IF(AND('Mapa final'!#REF!="Baja",'Mapa final'!#REF!="Moderado"),CONCATENATE("R4C",'Mapa final'!#REF!),"")</f>
        <v>#REF!</v>
      </c>
      <c r="Y39" s="65" t="e">
        <f>IF(AND('Mapa final'!#REF!="Baja",'Mapa final'!#REF!="Moderado"),CONCATENATE("R4C",'Mapa final'!#REF!),"")</f>
        <v>#REF!</v>
      </c>
      <c r="Z39" s="65" t="e">
        <f>IF(AND('Mapa final'!#REF!="Baja",'Mapa final'!#REF!="Moderado"),CONCATENATE("R4C",'Mapa final'!#REF!),"")</f>
        <v>#REF!</v>
      </c>
      <c r="AA39" s="66" t="e">
        <f>IF(AND('Mapa final'!#REF!="Baja",'Mapa final'!#REF!="Moderado"),CONCATENATE("R4C",'Mapa final'!#REF!),"")</f>
        <v>#REF!</v>
      </c>
      <c r="AB39" s="48" t="str">
        <f ca="1">IF(AND('Mapa final'!$Y$17="Baja",'Mapa final'!$AA$17="Mayor"),CONCATENATE("R4C",'Mapa final'!$O$17),"")</f>
        <v>R4C1</v>
      </c>
      <c r="AC39" s="49" t="e">
        <f>IF(AND('Mapa final'!#REF!="Baja",'Mapa final'!#REF!="Mayor"),CONCATENATE("R4C",'Mapa final'!#REF!),"")</f>
        <v>#REF!</v>
      </c>
      <c r="AD39" s="49" t="e">
        <f>IF(AND('Mapa final'!#REF!="Baja",'Mapa final'!#REF!="Mayor"),CONCATENATE("R4C",'Mapa final'!#REF!),"")</f>
        <v>#REF!</v>
      </c>
      <c r="AE39" s="49" t="e">
        <f>IF(AND('Mapa final'!#REF!="Baja",'Mapa final'!#REF!="Mayor"),CONCATENATE("R4C",'Mapa final'!#REF!),"")</f>
        <v>#REF!</v>
      </c>
      <c r="AF39" s="49" t="e">
        <f>IF(AND('Mapa final'!#REF!="Baja",'Mapa final'!#REF!="Mayor"),CONCATENATE("R4C",'Mapa final'!#REF!),"")</f>
        <v>#REF!</v>
      </c>
      <c r="AG39" s="50" t="e">
        <f>IF(AND('Mapa final'!#REF!="Baja",'Mapa final'!#REF!="Mayor"),CONCATENATE("R4C",'Mapa final'!#REF!),"")</f>
        <v>#REF!</v>
      </c>
      <c r="AH39" s="51" t="str">
        <f ca="1">IF(AND('Mapa final'!$Y$17="Baja",'Mapa final'!$AA$17="Catastrófico"),CONCATENATE("R4C",'Mapa final'!$O$17),"")</f>
        <v/>
      </c>
      <c r="AI39" s="52" t="e">
        <f>IF(AND('Mapa final'!#REF!="Baja",'Mapa final'!#REF!="Catastrófico"),CONCATENATE("R4C",'Mapa final'!#REF!),"")</f>
        <v>#REF!</v>
      </c>
      <c r="AJ39" s="52" t="e">
        <f>IF(AND('Mapa final'!#REF!="Baja",'Mapa final'!#REF!="Catastrófico"),CONCATENATE("R4C",'Mapa final'!#REF!),"")</f>
        <v>#REF!</v>
      </c>
      <c r="AK39" s="52" t="e">
        <f>IF(AND('Mapa final'!#REF!="Baja",'Mapa final'!#REF!="Catastrófico"),CONCATENATE("R4C",'Mapa final'!#REF!),"")</f>
        <v>#REF!</v>
      </c>
      <c r="AL39" s="52" t="e">
        <f>IF(AND('Mapa final'!#REF!="Baja",'Mapa final'!#REF!="Catastrófico"),CONCATENATE("R4C",'Mapa final'!#REF!),"")</f>
        <v>#REF!</v>
      </c>
      <c r="AM39" s="53" t="e">
        <f>IF(AND('Mapa final'!#REF!="Baja",'Mapa final'!#REF!="Catastrófico"),CONCATENATE("R4C",'Mapa final'!#REF!),"")</f>
        <v>#REF!</v>
      </c>
      <c r="AN39" s="80"/>
      <c r="AO39" s="334"/>
      <c r="AP39" s="335"/>
      <c r="AQ39" s="335"/>
      <c r="AR39" s="335"/>
      <c r="AS39" s="335"/>
      <c r="AT39" s="336"/>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row>
    <row r="40" spans="1:80" ht="15" customHeight="1" x14ac:dyDescent="0.45">
      <c r="A40" s="80"/>
      <c r="B40" s="261"/>
      <c r="C40" s="261"/>
      <c r="D40" s="262"/>
      <c r="E40" s="302"/>
      <c r="F40" s="303"/>
      <c r="G40" s="303"/>
      <c r="H40" s="303"/>
      <c r="I40" s="319"/>
      <c r="J40" s="73" t="str">
        <f ca="1">IF(AND('Mapa final'!$Y$18="Baja",'Mapa final'!$AA$18="Leve"),CONCATENATE("R5C",'Mapa final'!$O$18),"")</f>
        <v>R5C1</v>
      </c>
      <c r="K40" s="74" t="str">
        <f ca="1">IF(AND('Mapa final'!$Y$19="Baja",'Mapa final'!$AA$19="Leve"),CONCATENATE("R5C",'Mapa final'!$O$19),"")</f>
        <v>R5C2</v>
      </c>
      <c r="L40" s="74" t="e">
        <f>IF(AND('Mapa final'!#REF!="Baja",'Mapa final'!#REF!="Leve"),CONCATENATE("R5C",'Mapa final'!#REF!),"")</f>
        <v>#REF!</v>
      </c>
      <c r="M40" s="74" t="e">
        <f>IF(AND('Mapa final'!#REF!="Baja",'Mapa final'!#REF!="Leve"),CONCATENATE("R5C",'Mapa final'!#REF!),"")</f>
        <v>#REF!</v>
      </c>
      <c r="N40" s="74" t="e">
        <f>IF(AND('Mapa final'!#REF!="Baja",'Mapa final'!#REF!="Leve"),CONCATENATE("R5C",'Mapa final'!#REF!),"")</f>
        <v>#REF!</v>
      </c>
      <c r="O40" s="75" t="e">
        <f>IF(AND('Mapa final'!#REF!="Baja",'Mapa final'!#REF!="Leve"),CONCATENATE("R5C",'Mapa final'!#REF!),"")</f>
        <v>#REF!</v>
      </c>
      <c r="P40" s="64" t="str">
        <f ca="1">IF(AND('Mapa final'!$Y$18="Baja",'Mapa final'!$AA$18="Menor"),CONCATENATE("R5C",'Mapa final'!$O$18),"")</f>
        <v/>
      </c>
      <c r="Q40" s="65" t="str">
        <f ca="1">IF(AND('Mapa final'!$Y$19="Baja",'Mapa final'!$AA$19="Menor"),CONCATENATE("R5C",'Mapa final'!$O$19),"")</f>
        <v/>
      </c>
      <c r="R40" s="65" t="e">
        <f>IF(AND('Mapa final'!#REF!="Baja",'Mapa final'!#REF!="Menor"),CONCATENATE("R5C",'Mapa final'!#REF!),"")</f>
        <v>#REF!</v>
      </c>
      <c r="S40" s="65" t="e">
        <f>IF(AND('Mapa final'!#REF!="Baja",'Mapa final'!#REF!="Menor"),CONCATENATE("R5C",'Mapa final'!#REF!),"")</f>
        <v>#REF!</v>
      </c>
      <c r="T40" s="65" t="e">
        <f>IF(AND('Mapa final'!#REF!="Baja",'Mapa final'!#REF!="Menor"),CONCATENATE("R5C",'Mapa final'!#REF!),"")</f>
        <v>#REF!</v>
      </c>
      <c r="U40" s="66" t="e">
        <f>IF(AND('Mapa final'!#REF!="Baja",'Mapa final'!#REF!="Menor"),CONCATENATE("R5C",'Mapa final'!#REF!),"")</f>
        <v>#REF!</v>
      </c>
      <c r="V40" s="64" t="str">
        <f ca="1">IF(AND('Mapa final'!$Y$18="Baja",'Mapa final'!$AA$18="Moderado"),CONCATENATE("R5C",'Mapa final'!$O$18),"")</f>
        <v/>
      </c>
      <c r="W40" s="65" t="str">
        <f ca="1">IF(AND('Mapa final'!$Y$19="Baja",'Mapa final'!$AA$19="Moderado"),CONCATENATE("R5C",'Mapa final'!$O$19),"")</f>
        <v/>
      </c>
      <c r="X40" s="65" t="e">
        <f>IF(AND('Mapa final'!#REF!="Baja",'Mapa final'!#REF!="Moderado"),CONCATENATE("R5C",'Mapa final'!#REF!),"")</f>
        <v>#REF!</v>
      </c>
      <c r="Y40" s="65" t="e">
        <f>IF(AND('Mapa final'!#REF!="Baja",'Mapa final'!#REF!="Moderado"),CONCATENATE("R5C",'Mapa final'!#REF!),"")</f>
        <v>#REF!</v>
      </c>
      <c r="Z40" s="65" t="e">
        <f>IF(AND('Mapa final'!#REF!="Baja",'Mapa final'!#REF!="Moderado"),CONCATENATE("R5C",'Mapa final'!#REF!),"")</f>
        <v>#REF!</v>
      </c>
      <c r="AA40" s="66" t="e">
        <f>IF(AND('Mapa final'!#REF!="Baja",'Mapa final'!#REF!="Moderado"),CONCATENATE("R5C",'Mapa final'!#REF!),"")</f>
        <v>#REF!</v>
      </c>
      <c r="AB40" s="48" t="str">
        <f ca="1">IF(AND('Mapa final'!$Y$18="Baja",'Mapa final'!$AA$18="Mayor"),CONCATENATE("R5C",'Mapa final'!$O$18),"")</f>
        <v/>
      </c>
      <c r="AC40" s="49" t="str">
        <f ca="1">IF(AND('Mapa final'!$Y$19="Baja",'Mapa final'!$AA$19="Mayor"),CONCATENATE("R5C",'Mapa final'!$O$19),"")</f>
        <v/>
      </c>
      <c r="AD40" s="54" t="e">
        <f>IF(AND('Mapa final'!#REF!="Baja",'Mapa final'!#REF!="Mayor"),CONCATENATE("R5C",'Mapa final'!#REF!),"")</f>
        <v>#REF!</v>
      </c>
      <c r="AE40" s="54" t="e">
        <f>IF(AND('Mapa final'!#REF!="Baja",'Mapa final'!#REF!="Mayor"),CONCATENATE("R5C",'Mapa final'!#REF!),"")</f>
        <v>#REF!</v>
      </c>
      <c r="AF40" s="54" t="e">
        <f>IF(AND('Mapa final'!#REF!="Baja",'Mapa final'!#REF!="Mayor"),CONCATENATE("R5C",'Mapa final'!#REF!),"")</f>
        <v>#REF!</v>
      </c>
      <c r="AG40" s="50" t="e">
        <f>IF(AND('Mapa final'!#REF!="Baja",'Mapa final'!#REF!="Mayor"),CONCATENATE("R5C",'Mapa final'!#REF!),"")</f>
        <v>#REF!</v>
      </c>
      <c r="AH40" s="51" t="str">
        <f ca="1">IF(AND('Mapa final'!$Y$18="Baja",'Mapa final'!$AA$18="Catastrófico"),CONCATENATE("R5C",'Mapa final'!$O$18),"")</f>
        <v/>
      </c>
      <c r="AI40" s="52" t="str">
        <f ca="1">IF(AND('Mapa final'!$Y$19="Baja",'Mapa final'!$AA$19="Catastrófico"),CONCATENATE("R5C",'Mapa final'!$O$19),"")</f>
        <v/>
      </c>
      <c r="AJ40" s="52" t="e">
        <f>IF(AND('Mapa final'!#REF!="Baja",'Mapa final'!#REF!="Catastrófico"),CONCATENATE("R5C",'Mapa final'!#REF!),"")</f>
        <v>#REF!</v>
      </c>
      <c r="AK40" s="52" t="e">
        <f>IF(AND('Mapa final'!#REF!="Baja",'Mapa final'!#REF!="Catastrófico"),CONCATENATE("R5C",'Mapa final'!#REF!),"")</f>
        <v>#REF!</v>
      </c>
      <c r="AL40" s="52" t="e">
        <f>IF(AND('Mapa final'!#REF!="Baja",'Mapa final'!#REF!="Catastrófico"),CONCATENATE("R5C",'Mapa final'!#REF!),"")</f>
        <v>#REF!</v>
      </c>
      <c r="AM40" s="53" t="e">
        <f>IF(AND('Mapa final'!#REF!="Baja",'Mapa final'!#REF!="Catastrófico"),CONCATENATE("R5C",'Mapa final'!#REF!),"")</f>
        <v>#REF!</v>
      </c>
      <c r="AN40" s="80"/>
      <c r="AO40" s="334"/>
      <c r="AP40" s="335"/>
      <c r="AQ40" s="335"/>
      <c r="AR40" s="335"/>
      <c r="AS40" s="335"/>
      <c r="AT40" s="336"/>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row>
    <row r="41" spans="1:80" ht="15" customHeight="1" x14ac:dyDescent="0.45">
      <c r="A41" s="80"/>
      <c r="B41" s="261"/>
      <c r="C41" s="261"/>
      <c r="D41" s="262"/>
      <c r="E41" s="302"/>
      <c r="F41" s="303"/>
      <c r="G41" s="303"/>
      <c r="H41" s="303"/>
      <c r="I41" s="319"/>
      <c r="J41" s="73" t="str">
        <f ca="1">IF(AND('Mapa final'!$Y$20="Baja",'Mapa final'!$AA$20="Leve"),CONCATENATE("R6C",'Mapa final'!$O$20),"")</f>
        <v/>
      </c>
      <c r="K41" s="74" t="e">
        <f>IF(AND('Mapa final'!#REF!="Baja",'Mapa final'!#REF!="Leve"),CONCATENATE("R6C",'Mapa final'!#REF!),"")</f>
        <v>#REF!</v>
      </c>
      <c r="L41" s="74" t="e">
        <f>IF(AND('Mapa final'!#REF!="Baja",'Mapa final'!#REF!="Leve"),CONCATENATE("R6C",'Mapa final'!#REF!),"")</f>
        <v>#REF!</v>
      </c>
      <c r="M41" s="74" t="e">
        <f>IF(AND('Mapa final'!#REF!="Baja",'Mapa final'!#REF!="Leve"),CONCATENATE("R6C",'Mapa final'!#REF!),"")</f>
        <v>#REF!</v>
      </c>
      <c r="N41" s="74" t="e">
        <f>IF(AND('Mapa final'!#REF!="Baja",'Mapa final'!#REF!="Leve"),CONCATENATE("R6C",'Mapa final'!#REF!),"")</f>
        <v>#REF!</v>
      </c>
      <c r="O41" s="75" t="e">
        <f>IF(AND('Mapa final'!#REF!="Baja",'Mapa final'!#REF!="Leve"),CONCATENATE("R6C",'Mapa final'!#REF!),"")</f>
        <v>#REF!</v>
      </c>
      <c r="P41" s="64" t="str">
        <f ca="1">IF(AND('Mapa final'!$Y$20="Baja",'Mapa final'!$AA$20="Menor"),CONCATENATE("R6C",'Mapa final'!$O$20),"")</f>
        <v/>
      </c>
      <c r="Q41" s="65" t="e">
        <f>IF(AND('Mapa final'!#REF!="Baja",'Mapa final'!#REF!="Menor"),CONCATENATE("R6C",'Mapa final'!#REF!),"")</f>
        <v>#REF!</v>
      </c>
      <c r="R41" s="65" t="e">
        <f>IF(AND('Mapa final'!#REF!="Baja",'Mapa final'!#REF!="Menor"),CONCATENATE("R6C",'Mapa final'!#REF!),"")</f>
        <v>#REF!</v>
      </c>
      <c r="S41" s="65" t="e">
        <f>IF(AND('Mapa final'!#REF!="Baja",'Mapa final'!#REF!="Menor"),CONCATENATE("R6C",'Mapa final'!#REF!),"")</f>
        <v>#REF!</v>
      </c>
      <c r="T41" s="65" t="e">
        <f>IF(AND('Mapa final'!#REF!="Baja",'Mapa final'!#REF!="Menor"),CONCATENATE("R6C",'Mapa final'!#REF!),"")</f>
        <v>#REF!</v>
      </c>
      <c r="U41" s="66" t="e">
        <f>IF(AND('Mapa final'!#REF!="Baja",'Mapa final'!#REF!="Menor"),CONCATENATE("R6C",'Mapa final'!#REF!),"")</f>
        <v>#REF!</v>
      </c>
      <c r="V41" s="64" t="str">
        <f ca="1">IF(AND('Mapa final'!$Y$20="Baja",'Mapa final'!$AA$20="Moderado"),CONCATENATE("R6C",'Mapa final'!$O$20),"")</f>
        <v>R6C1</v>
      </c>
      <c r="W41" s="65" t="e">
        <f>IF(AND('Mapa final'!#REF!="Baja",'Mapa final'!#REF!="Moderado"),CONCATENATE("R6C",'Mapa final'!#REF!),"")</f>
        <v>#REF!</v>
      </c>
      <c r="X41" s="65" t="e">
        <f>IF(AND('Mapa final'!#REF!="Baja",'Mapa final'!#REF!="Moderado"),CONCATENATE("R6C",'Mapa final'!#REF!),"")</f>
        <v>#REF!</v>
      </c>
      <c r="Y41" s="65" t="e">
        <f>IF(AND('Mapa final'!#REF!="Baja",'Mapa final'!#REF!="Moderado"),CONCATENATE("R6C",'Mapa final'!#REF!),"")</f>
        <v>#REF!</v>
      </c>
      <c r="Z41" s="65" t="e">
        <f>IF(AND('Mapa final'!#REF!="Baja",'Mapa final'!#REF!="Moderado"),CONCATENATE("R6C",'Mapa final'!#REF!),"")</f>
        <v>#REF!</v>
      </c>
      <c r="AA41" s="66" t="e">
        <f>IF(AND('Mapa final'!#REF!="Baja",'Mapa final'!#REF!="Moderado"),CONCATENATE("R6C",'Mapa final'!#REF!),"")</f>
        <v>#REF!</v>
      </c>
      <c r="AB41" s="48" t="str">
        <f ca="1">IF(AND('Mapa final'!$Y$20="Baja",'Mapa final'!$AA$20="Mayor"),CONCATENATE("R6C",'Mapa final'!$O$20),"")</f>
        <v/>
      </c>
      <c r="AC41" s="49" t="e">
        <f>IF(AND('Mapa final'!#REF!="Baja",'Mapa final'!#REF!="Mayor"),CONCATENATE("R6C",'Mapa final'!#REF!),"")</f>
        <v>#REF!</v>
      </c>
      <c r="AD41" s="54" t="e">
        <f>IF(AND('Mapa final'!#REF!="Baja",'Mapa final'!#REF!="Mayor"),CONCATENATE("R6C",'Mapa final'!#REF!),"")</f>
        <v>#REF!</v>
      </c>
      <c r="AE41" s="54" t="e">
        <f>IF(AND('Mapa final'!#REF!="Baja",'Mapa final'!#REF!="Mayor"),CONCATENATE("R6C",'Mapa final'!#REF!),"")</f>
        <v>#REF!</v>
      </c>
      <c r="AF41" s="54" t="e">
        <f>IF(AND('Mapa final'!#REF!="Baja",'Mapa final'!#REF!="Mayor"),CONCATENATE("R6C",'Mapa final'!#REF!),"")</f>
        <v>#REF!</v>
      </c>
      <c r="AG41" s="50" t="e">
        <f>IF(AND('Mapa final'!#REF!="Baja",'Mapa final'!#REF!="Mayor"),CONCATENATE("R6C",'Mapa final'!#REF!),"")</f>
        <v>#REF!</v>
      </c>
      <c r="AH41" s="51" t="str">
        <f ca="1">IF(AND('Mapa final'!$Y$20="Baja",'Mapa final'!$AA$20="Catastrófico"),CONCATENATE("R6C",'Mapa final'!$O$20),"")</f>
        <v/>
      </c>
      <c r="AI41" s="52" t="e">
        <f>IF(AND('Mapa final'!#REF!="Baja",'Mapa final'!#REF!="Catastrófico"),CONCATENATE("R6C",'Mapa final'!#REF!),"")</f>
        <v>#REF!</v>
      </c>
      <c r="AJ41" s="52" t="e">
        <f>IF(AND('Mapa final'!#REF!="Baja",'Mapa final'!#REF!="Catastrófico"),CONCATENATE("R6C",'Mapa final'!#REF!),"")</f>
        <v>#REF!</v>
      </c>
      <c r="AK41" s="52" t="e">
        <f>IF(AND('Mapa final'!#REF!="Baja",'Mapa final'!#REF!="Catastrófico"),CONCATENATE("R6C",'Mapa final'!#REF!),"")</f>
        <v>#REF!</v>
      </c>
      <c r="AL41" s="52" t="e">
        <f>IF(AND('Mapa final'!#REF!="Baja",'Mapa final'!#REF!="Catastrófico"),CONCATENATE("R6C",'Mapa final'!#REF!),"")</f>
        <v>#REF!</v>
      </c>
      <c r="AM41" s="53" t="e">
        <f>IF(AND('Mapa final'!#REF!="Baja",'Mapa final'!#REF!="Catastrófico"),CONCATENATE("R6C",'Mapa final'!#REF!),"")</f>
        <v>#REF!</v>
      </c>
      <c r="AN41" s="80"/>
      <c r="AO41" s="334"/>
      <c r="AP41" s="335"/>
      <c r="AQ41" s="335"/>
      <c r="AR41" s="335"/>
      <c r="AS41" s="335"/>
      <c r="AT41" s="336"/>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row>
    <row r="42" spans="1:80" ht="15" customHeight="1" x14ac:dyDescent="0.45">
      <c r="A42" s="80"/>
      <c r="B42" s="261"/>
      <c r="C42" s="261"/>
      <c r="D42" s="262"/>
      <c r="E42" s="302"/>
      <c r="F42" s="303"/>
      <c r="G42" s="303"/>
      <c r="H42" s="303"/>
      <c r="I42" s="319"/>
      <c r="J42" s="73" t="str">
        <f ca="1">IF(AND('Mapa final'!$Y$21="Baja",'Mapa final'!$AA$21="Leve"),CONCATENATE("R7C",'Mapa final'!$O$21),"")</f>
        <v/>
      </c>
      <c r="K42" s="74" t="str">
        <f ca="1">IF(AND('Mapa final'!$Y$22="Baja",'Mapa final'!$AA$22="Leve"),CONCATENATE("R7C",'Mapa final'!$O$22),"")</f>
        <v/>
      </c>
      <c r="L42" s="74" t="str">
        <f ca="1">IF(AND('Mapa final'!$Y$23="Baja",'Mapa final'!$AA$23="Leve"),CONCATENATE("R7C",'Mapa final'!$O$23),"")</f>
        <v/>
      </c>
      <c r="M42" s="74" t="e">
        <f>IF(AND('Mapa final'!#REF!="Baja",'Mapa final'!#REF!="Leve"),CONCATENATE("R7C",'Mapa final'!#REF!),"")</f>
        <v>#REF!</v>
      </c>
      <c r="N42" s="74" t="e">
        <f>IF(AND('Mapa final'!#REF!="Baja",'Mapa final'!#REF!="Leve"),CONCATENATE("R7C",'Mapa final'!#REF!),"")</f>
        <v>#REF!</v>
      </c>
      <c r="O42" s="75" t="e">
        <f>IF(AND('Mapa final'!#REF!="Baja",'Mapa final'!#REF!="Leve"),CONCATENATE("R7C",'Mapa final'!#REF!),"")</f>
        <v>#REF!</v>
      </c>
      <c r="P42" s="64" t="str">
        <f ca="1">IF(AND('Mapa final'!$Y$21="Baja",'Mapa final'!$AA$21="Menor"),CONCATENATE("R7C",'Mapa final'!$O$21),"")</f>
        <v/>
      </c>
      <c r="Q42" s="65" t="str">
        <f ca="1">IF(AND('Mapa final'!$Y$22="Baja",'Mapa final'!$AA$22="Menor"),CONCATENATE("R7C",'Mapa final'!$O$22),"")</f>
        <v/>
      </c>
      <c r="R42" s="65" t="str">
        <f ca="1">IF(AND('Mapa final'!$Y$23="Baja",'Mapa final'!$AA$23="Menor"),CONCATENATE("R7C",'Mapa final'!$O$23),"")</f>
        <v/>
      </c>
      <c r="S42" s="65" t="e">
        <f>IF(AND('Mapa final'!#REF!="Baja",'Mapa final'!#REF!="Menor"),CONCATENATE("R7C",'Mapa final'!#REF!),"")</f>
        <v>#REF!</v>
      </c>
      <c r="T42" s="65" t="e">
        <f>IF(AND('Mapa final'!#REF!="Baja",'Mapa final'!#REF!="Menor"),CONCATENATE("R7C",'Mapa final'!#REF!),"")</f>
        <v>#REF!</v>
      </c>
      <c r="U42" s="66" t="e">
        <f>IF(AND('Mapa final'!#REF!="Baja",'Mapa final'!#REF!="Menor"),CONCATENATE("R7C",'Mapa final'!#REF!),"")</f>
        <v>#REF!</v>
      </c>
      <c r="V42" s="64" t="str">
        <f ca="1">IF(AND('Mapa final'!$Y$21="Baja",'Mapa final'!$AA$21="Moderado"),CONCATENATE("R7C",'Mapa final'!$O$21),"")</f>
        <v>R7C1</v>
      </c>
      <c r="W42" s="65" t="str">
        <f ca="1">IF(AND('Mapa final'!$Y$22="Baja",'Mapa final'!$AA$22="Moderado"),CONCATENATE("R7C",'Mapa final'!$O$22),"")</f>
        <v>R7C2</v>
      </c>
      <c r="X42" s="65" t="str">
        <f ca="1">IF(AND('Mapa final'!$Y$23="Baja",'Mapa final'!$AA$23="Moderado"),CONCATENATE("R7C",'Mapa final'!$O$23),"")</f>
        <v/>
      </c>
      <c r="Y42" s="65" t="e">
        <f>IF(AND('Mapa final'!#REF!="Baja",'Mapa final'!#REF!="Moderado"),CONCATENATE("R7C",'Mapa final'!#REF!),"")</f>
        <v>#REF!</v>
      </c>
      <c r="Z42" s="65" t="e">
        <f>IF(AND('Mapa final'!#REF!="Baja",'Mapa final'!#REF!="Moderado"),CONCATENATE("R7C",'Mapa final'!#REF!),"")</f>
        <v>#REF!</v>
      </c>
      <c r="AA42" s="66" t="e">
        <f>IF(AND('Mapa final'!#REF!="Baja",'Mapa final'!#REF!="Moderado"),CONCATENATE("R7C",'Mapa final'!#REF!),"")</f>
        <v>#REF!</v>
      </c>
      <c r="AB42" s="48" t="str">
        <f ca="1">IF(AND('Mapa final'!$Y$21="Baja",'Mapa final'!$AA$21="Mayor"),CONCATENATE("R7C",'Mapa final'!$O$21),"")</f>
        <v/>
      </c>
      <c r="AC42" s="49" t="str">
        <f ca="1">IF(AND('Mapa final'!$Y$22="Baja",'Mapa final'!$AA$22="Mayor"),CONCATENATE("R7C",'Mapa final'!$O$22),"")</f>
        <v/>
      </c>
      <c r="AD42" s="54" t="str">
        <f ca="1">IF(AND('Mapa final'!$Y$23="Baja",'Mapa final'!$AA$23="Mayor"),CONCATENATE("R7C",'Mapa final'!$O$23),"")</f>
        <v/>
      </c>
      <c r="AE42" s="54" t="e">
        <f>IF(AND('Mapa final'!#REF!="Baja",'Mapa final'!#REF!="Mayor"),CONCATENATE("R7C",'Mapa final'!#REF!),"")</f>
        <v>#REF!</v>
      </c>
      <c r="AF42" s="54" t="e">
        <f>IF(AND('Mapa final'!#REF!="Baja",'Mapa final'!#REF!="Mayor"),CONCATENATE("R7C",'Mapa final'!#REF!),"")</f>
        <v>#REF!</v>
      </c>
      <c r="AG42" s="50" t="e">
        <f>IF(AND('Mapa final'!#REF!="Baja",'Mapa final'!#REF!="Mayor"),CONCATENATE("R7C",'Mapa final'!#REF!),"")</f>
        <v>#REF!</v>
      </c>
      <c r="AH42" s="51" t="str">
        <f ca="1">IF(AND('Mapa final'!$Y$21="Baja",'Mapa final'!$AA$21="Catastrófico"),CONCATENATE("R7C",'Mapa final'!$O$21),"")</f>
        <v/>
      </c>
      <c r="AI42" s="52" t="str">
        <f ca="1">IF(AND('Mapa final'!$Y$22="Baja",'Mapa final'!$AA$22="Catastrófico"),CONCATENATE("R7C",'Mapa final'!$O$22),"")</f>
        <v/>
      </c>
      <c r="AJ42" s="52" t="str">
        <f ca="1">IF(AND('Mapa final'!$Y$23="Baja",'Mapa final'!$AA$23="Catastrófico"),CONCATENATE("R7C",'Mapa final'!$O$23),"")</f>
        <v/>
      </c>
      <c r="AK42" s="52" t="e">
        <f>IF(AND('Mapa final'!#REF!="Baja",'Mapa final'!#REF!="Catastrófico"),CONCATENATE("R7C",'Mapa final'!#REF!),"")</f>
        <v>#REF!</v>
      </c>
      <c r="AL42" s="52" t="e">
        <f>IF(AND('Mapa final'!#REF!="Baja",'Mapa final'!#REF!="Catastrófico"),CONCATENATE("R7C",'Mapa final'!#REF!),"")</f>
        <v>#REF!</v>
      </c>
      <c r="AM42" s="53" t="e">
        <f>IF(AND('Mapa final'!#REF!="Baja",'Mapa final'!#REF!="Catastrófico"),CONCATENATE("R7C",'Mapa final'!#REF!),"")</f>
        <v>#REF!</v>
      </c>
      <c r="AN42" s="80"/>
      <c r="AO42" s="334"/>
      <c r="AP42" s="335"/>
      <c r="AQ42" s="335"/>
      <c r="AR42" s="335"/>
      <c r="AS42" s="335"/>
      <c r="AT42" s="336"/>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row>
    <row r="43" spans="1:80" ht="15" customHeight="1" x14ac:dyDescent="0.45">
      <c r="A43" s="80"/>
      <c r="B43" s="261"/>
      <c r="C43" s="261"/>
      <c r="D43" s="262"/>
      <c r="E43" s="302"/>
      <c r="F43" s="303"/>
      <c r="G43" s="303"/>
      <c r="H43" s="303"/>
      <c r="I43" s="319"/>
      <c r="J43" s="73" t="str">
        <f ca="1">IF(AND('Mapa final'!$Y$24="Baja",'Mapa final'!$AA$24="Leve"),CONCATENATE("R8C",'Mapa final'!$O$24),"")</f>
        <v/>
      </c>
      <c r="K43" s="74" t="e">
        <f>IF(AND('Mapa final'!#REF!="Baja",'Mapa final'!#REF!="Leve"),CONCATENATE("R8C",'Mapa final'!#REF!),"")</f>
        <v>#REF!</v>
      </c>
      <c r="L43" s="74" t="e">
        <f>IF(AND('Mapa final'!#REF!="Baja",'Mapa final'!#REF!="Leve"),CONCATENATE("R8C",'Mapa final'!#REF!),"")</f>
        <v>#REF!</v>
      </c>
      <c r="M43" s="74" t="e">
        <f>IF(AND('Mapa final'!#REF!="Baja",'Mapa final'!#REF!="Leve"),CONCATENATE("R8C",'Mapa final'!#REF!),"")</f>
        <v>#REF!</v>
      </c>
      <c r="N43" s="74" t="e">
        <f>IF(AND('Mapa final'!#REF!="Baja",'Mapa final'!#REF!="Leve"),CONCATENATE("R8C",'Mapa final'!#REF!),"")</f>
        <v>#REF!</v>
      </c>
      <c r="O43" s="75" t="e">
        <f>IF(AND('Mapa final'!#REF!="Baja",'Mapa final'!#REF!="Leve"),CONCATENATE("R8C",'Mapa final'!#REF!),"")</f>
        <v>#REF!</v>
      </c>
      <c r="P43" s="64" t="str">
        <f ca="1">IF(AND('Mapa final'!$Y$24="Baja",'Mapa final'!$AA$24="Menor"),CONCATENATE("R8C",'Mapa final'!$O$24),"")</f>
        <v/>
      </c>
      <c r="Q43" s="65" t="e">
        <f>IF(AND('Mapa final'!#REF!="Baja",'Mapa final'!#REF!="Menor"),CONCATENATE("R8C",'Mapa final'!#REF!),"")</f>
        <v>#REF!</v>
      </c>
      <c r="R43" s="65" t="e">
        <f>IF(AND('Mapa final'!#REF!="Baja",'Mapa final'!#REF!="Menor"),CONCATENATE("R8C",'Mapa final'!#REF!),"")</f>
        <v>#REF!</v>
      </c>
      <c r="S43" s="65" t="e">
        <f>IF(AND('Mapa final'!#REF!="Baja",'Mapa final'!#REF!="Menor"),CONCATENATE("R8C",'Mapa final'!#REF!),"")</f>
        <v>#REF!</v>
      </c>
      <c r="T43" s="65" t="e">
        <f>IF(AND('Mapa final'!#REF!="Baja",'Mapa final'!#REF!="Menor"),CONCATENATE("R8C",'Mapa final'!#REF!),"")</f>
        <v>#REF!</v>
      </c>
      <c r="U43" s="66" t="e">
        <f>IF(AND('Mapa final'!#REF!="Baja",'Mapa final'!#REF!="Menor"),CONCATENATE("R8C",'Mapa final'!#REF!),"")</f>
        <v>#REF!</v>
      </c>
      <c r="V43" s="64" t="str">
        <f ca="1">IF(AND('Mapa final'!$Y$24="Baja",'Mapa final'!$AA$24="Moderado"),CONCATENATE("R8C",'Mapa final'!$O$24),"")</f>
        <v/>
      </c>
      <c r="W43" s="65" t="e">
        <f>IF(AND('Mapa final'!#REF!="Baja",'Mapa final'!#REF!="Moderado"),CONCATENATE("R8C",'Mapa final'!#REF!),"")</f>
        <v>#REF!</v>
      </c>
      <c r="X43" s="65" t="e">
        <f>IF(AND('Mapa final'!#REF!="Baja",'Mapa final'!#REF!="Moderado"),CONCATENATE("R8C",'Mapa final'!#REF!),"")</f>
        <v>#REF!</v>
      </c>
      <c r="Y43" s="65" t="e">
        <f>IF(AND('Mapa final'!#REF!="Baja",'Mapa final'!#REF!="Moderado"),CONCATENATE("R8C",'Mapa final'!#REF!),"")</f>
        <v>#REF!</v>
      </c>
      <c r="Z43" s="65" t="e">
        <f>IF(AND('Mapa final'!#REF!="Baja",'Mapa final'!#REF!="Moderado"),CONCATENATE("R8C",'Mapa final'!#REF!),"")</f>
        <v>#REF!</v>
      </c>
      <c r="AA43" s="66" t="e">
        <f>IF(AND('Mapa final'!#REF!="Baja",'Mapa final'!#REF!="Moderado"),CONCATENATE("R8C",'Mapa final'!#REF!),"")</f>
        <v>#REF!</v>
      </c>
      <c r="AB43" s="48" t="str">
        <f ca="1">IF(AND('Mapa final'!$Y$24="Baja",'Mapa final'!$AA$24="Mayor"),CONCATENATE("R8C",'Mapa final'!$O$24),"")</f>
        <v/>
      </c>
      <c r="AC43" s="49" t="e">
        <f>IF(AND('Mapa final'!#REF!="Baja",'Mapa final'!#REF!="Mayor"),CONCATENATE("R8C",'Mapa final'!#REF!),"")</f>
        <v>#REF!</v>
      </c>
      <c r="AD43" s="54" t="e">
        <f>IF(AND('Mapa final'!#REF!="Baja",'Mapa final'!#REF!="Mayor"),CONCATENATE("R8C",'Mapa final'!#REF!),"")</f>
        <v>#REF!</v>
      </c>
      <c r="AE43" s="54" t="e">
        <f>IF(AND('Mapa final'!#REF!="Baja",'Mapa final'!#REF!="Mayor"),CONCATENATE("R8C",'Mapa final'!#REF!),"")</f>
        <v>#REF!</v>
      </c>
      <c r="AF43" s="54" t="e">
        <f>IF(AND('Mapa final'!#REF!="Baja",'Mapa final'!#REF!="Mayor"),CONCATENATE("R8C",'Mapa final'!#REF!),"")</f>
        <v>#REF!</v>
      </c>
      <c r="AG43" s="50" t="e">
        <f>IF(AND('Mapa final'!#REF!="Baja",'Mapa final'!#REF!="Mayor"),CONCATENATE("R8C",'Mapa final'!#REF!),"")</f>
        <v>#REF!</v>
      </c>
      <c r="AH43" s="51" t="str">
        <f ca="1">IF(AND('Mapa final'!$Y$24="Baja",'Mapa final'!$AA$24="Catastrófico"),CONCATENATE("R8C",'Mapa final'!$O$24),"")</f>
        <v/>
      </c>
      <c r="AI43" s="52" t="e">
        <f>IF(AND('Mapa final'!#REF!="Baja",'Mapa final'!#REF!="Catastrófico"),CONCATENATE("R8C",'Mapa final'!#REF!),"")</f>
        <v>#REF!</v>
      </c>
      <c r="AJ43" s="52" t="e">
        <f>IF(AND('Mapa final'!#REF!="Baja",'Mapa final'!#REF!="Catastrófico"),CONCATENATE("R8C",'Mapa final'!#REF!),"")</f>
        <v>#REF!</v>
      </c>
      <c r="AK43" s="52" t="e">
        <f>IF(AND('Mapa final'!#REF!="Baja",'Mapa final'!#REF!="Catastrófico"),CONCATENATE("R8C",'Mapa final'!#REF!),"")</f>
        <v>#REF!</v>
      </c>
      <c r="AL43" s="52" t="e">
        <f>IF(AND('Mapa final'!#REF!="Baja",'Mapa final'!#REF!="Catastrófico"),CONCATENATE("R8C",'Mapa final'!#REF!),"")</f>
        <v>#REF!</v>
      </c>
      <c r="AM43" s="53" t="e">
        <f>IF(AND('Mapa final'!#REF!="Baja",'Mapa final'!#REF!="Catastrófico"),CONCATENATE("R8C",'Mapa final'!#REF!),"")</f>
        <v>#REF!</v>
      </c>
      <c r="AN43" s="80"/>
      <c r="AO43" s="334"/>
      <c r="AP43" s="335"/>
      <c r="AQ43" s="335"/>
      <c r="AR43" s="335"/>
      <c r="AS43" s="335"/>
      <c r="AT43" s="336"/>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row>
    <row r="44" spans="1:80" ht="15" customHeight="1" x14ac:dyDescent="0.45">
      <c r="A44" s="80"/>
      <c r="B44" s="261"/>
      <c r="C44" s="261"/>
      <c r="D44" s="262"/>
      <c r="E44" s="302"/>
      <c r="F44" s="303"/>
      <c r="G44" s="303"/>
      <c r="H44" s="303"/>
      <c r="I44" s="319"/>
      <c r="J44" s="73" t="e">
        <f>IF(AND('Mapa final'!#REF!="Baja",'Mapa final'!#REF!="Leve"),CONCATENATE("R9C",'Mapa final'!#REF!),"")</f>
        <v>#REF!</v>
      </c>
      <c r="K44" s="74" t="e">
        <f>IF(AND('Mapa final'!#REF!="Baja",'Mapa final'!#REF!="Leve"),CONCATENATE("R9C",'Mapa final'!#REF!),"")</f>
        <v>#REF!</v>
      </c>
      <c r="L44" s="74" t="e">
        <f>IF(AND('Mapa final'!#REF!="Baja",'Mapa final'!#REF!="Leve"),CONCATENATE("R9C",'Mapa final'!#REF!),"")</f>
        <v>#REF!</v>
      </c>
      <c r="M44" s="74" t="e">
        <f>IF(AND('Mapa final'!#REF!="Baja",'Mapa final'!#REF!="Leve"),CONCATENATE("R9C",'Mapa final'!#REF!),"")</f>
        <v>#REF!</v>
      </c>
      <c r="N44" s="74" t="e">
        <f>IF(AND('Mapa final'!#REF!="Baja",'Mapa final'!#REF!="Leve"),CONCATENATE("R9C",'Mapa final'!#REF!),"")</f>
        <v>#REF!</v>
      </c>
      <c r="O44" s="75" t="e">
        <f>IF(AND('Mapa final'!#REF!="Baja",'Mapa final'!#REF!="Leve"),CONCATENATE("R9C",'Mapa final'!#REF!),"")</f>
        <v>#REF!</v>
      </c>
      <c r="P44" s="64" t="e">
        <f>IF(AND('Mapa final'!#REF!="Baja",'Mapa final'!#REF!="Menor"),CONCATENATE("R9C",'Mapa final'!#REF!),"")</f>
        <v>#REF!</v>
      </c>
      <c r="Q44" s="65" t="e">
        <f>IF(AND('Mapa final'!#REF!="Baja",'Mapa final'!#REF!="Menor"),CONCATENATE("R9C",'Mapa final'!#REF!),"")</f>
        <v>#REF!</v>
      </c>
      <c r="R44" s="65" t="e">
        <f>IF(AND('Mapa final'!#REF!="Baja",'Mapa final'!#REF!="Menor"),CONCATENATE("R9C",'Mapa final'!#REF!),"")</f>
        <v>#REF!</v>
      </c>
      <c r="S44" s="65" t="e">
        <f>IF(AND('Mapa final'!#REF!="Baja",'Mapa final'!#REF!="Menor"),CONCATENATE("R9C",'Mapa final'!#REF!),"")</f>
        <v>#REF!</v>
      </c>
      <c r="T44" s="65" t="e">
        <f>IF(AND('Mapa final'!#REF!="Baja",'Mapa final'!#REF!="Menor"),CONCATENATE("R9C",'Mapa final'!#REF!),"")</f>
        <v>#REF!</v>
      </c>
      <c r="U44" s="66" t="e">
        <f>IF(AND('Mapa final'!#REF!="Baja",'Mapa final'!#REF!="Menor"),CONCATENATE("R9C",'Mapa final'!#REF!),"")</f>
        <v>#REF!</v>
      </c>
      <c r="V44" s="64" t="e">
        <f>IF(AND('Mapa final'!#REF!="Baja",'Mapa final'!#REF!="Moderado"),CONCATENATE("R9C",'Mapa final'!#REF!),"")</f>
        <v>#REF!</v>
      </c>
      <c r="W44" s="65" t="e">
        <f>IF(AND('Mapa final'!#REF!="Baja",'Mapa final'!#REF!="Moderado"),CONCATENATE("R9C",'Mapa final'!#REF!),"")</f>
        <v>#REF!</v>
      </c>
      <c r="X44" s="65" t="e">
        <f>IF(AND('Mapa final'!#REF!="Baja",'Mapa final'!#REF!="Moderado"),CONCATENATE("R9C",'Mapa final'!#REF!),"")</f>
        <v>#REF!</v>
      </c>
      <c r="Y44" s="65" t="e">
        <f>IF(AND('Mapa final'!#REF!="Baja",'Mapa final'!#REF!="Moderado"),CONCATENATE("R9C",'Mapa final'!#REF!),"")</f>
        <v>#REF!</v>
      </c>
      <c r="Z44" s="65" t="e">
        <f>IF(AND('Mapa final'!#REF!="Baja",'Mapa final'!#REF!="Moderado"),CONCATENATE("R9C",'Mapa final'!#REF!),"")</f>
        <v>#REF!</v>
      </c>
      <c r="AA44" s="66" t="e">
        <f>IF(AND('Mapa final'!#REF!="Baja",'Mapa final'!#REF!="Moderado"),CONCATENATE("R9C",'Mapa final'!#REF!),"")</f>
        <v>#REF!</v>
      </c>
      <c r="AB44" s="48" t="e">
        <f>IF(AND('Mapa final'!#REF!="Baja",'Mapa final'!#REF!="Mayor"),CONCATENATE("R9C",'Mapa final'!#REF!),"")</f>
        <v>#REF!</v>
      </c>
      <c r="AC44" s="49" t="e">
        <f>IF(AND('Mapa final'!#REF!="Baja",'Mapa final'!#REF!="Mayor"),CONCATENATE("R9C",'Mapa final'!#REF!),"")</f>
        <v>#REF!</v>
      </c>
      <c r="AD44" s="54" t="e">
        <f>IF(AND('Mapa final'!#REF!="Baja",'Mapa final'!#REF!="Mayor"),CONCATENATE("R9C",'Mapa final'!#REF!),"")</f>
        <v>#REF!</v>
      </c>
      <c r="AE44" s="54" t="e">
        <f>IF(AND('Mapa final'!#REF!="Baja",'Mapa final'!#REF!="Mayor"),CONCATENATE("R9C",'Mapa final'!#REF!),"")</f>
        <v>#REF!</v>
      </c>
      <c r="AF44" s="54" t="e">
        <f>IF(AND('Mapa final'!#REF!="Baja",'Mapa final'!#REF!="Mayor"),CONCATENATE("R9C",'Mapa final'!#REF!),"")</f>
        <v>#REF!</v>
      </c>
      <c r="AG44" s="50" t="e">
        <f>IF(AND('Mapa final'!#REF!="Baja",'Mapa final'!#REF!="Mayor"),CONCATENATE("R9C",'Mapa final'!#REF!),"")</f>
        <v>#REF!</v>
      </c>
      <c r="AH44" s="51" t="e">
        <f>IF(AND('Mapa final'!#REF!="Baja",'Mapa final'!#REF!="Catastrófico"),CONCATENATE("R9C",'Mapa final'!#REF!),"")</f>
        <v>#REF!</v>
      </c>
      <c r="AI44" s="52" t="e">
        <f>IF(AND('Mapa final'!#REF!="Baja",'Mapa final'!#REF!="Catastrófico"),CONCATENATE("R9C",'Mapa final'!#REF!),"")</f>
        <v>#REF!</v>
      </c>
      <c r="AJ44" s="52" t="e">
        <f>IF(AND('Mapa final'!#REF!="Baja",'Mapa final'!#REF!="Catastrófico"),CONCATENATE("R9C",'Mapa final'!#REF!),"")</f>
        <v>#REF!</v>
      </c>
      <c r="AK44" s="52" t="e">
        <f>IF(AND('Mapa final'!#REF!="Baja",'Mapa final'!#REF!="Catastrófico"),CONCATENATE("R9C",'Mapa final'!#REF!),"")</f>
        <v>#REF!</v>
      </c>
      <c r="AL44" s="52" t="e">
        <f>IF(AND('Mapa final'!#REF!="Baja",'Mapa final'!#REF!="Catastrófico"),CONCATENATE("R9C",'Mapa final'!#REF!),"")</f>
        <v>#REF!</v>
      </c>
      <c r="AM44" s="53" t="e">
        <f>IF(AND('Mapa final'!#REF!="Baja",'Mapa final'!#REF!="Catastrófico"),CONCATENATE("R9C",'Mapa final'!#REF!),"")</f>
        <v>#REF!</v>
      </c>
      <c r="AN44" s="80"/>
      <c r="AO44" s="334"/>
      <c r="AP44" s="335"/>
      <c r="AQ44" s="335"/>
      <c r="AR44" s="335"/>
      <c r="AS44" s="335"/>
      <c r="AT44" s="336"/>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row>
    <row r="45" spans="1:80" ht="15.75" customHeight="1" thickBot="1" x14ac:dyDescent="0.5">
      <c r="A45" s="80"/>
      <c r="B45" s="261"/>
      <c r="C45" s="261"/>
      <c r="D45" s="262"/>
      <c r="E45" s="305"/>
      <c r="F45" s="306"/>
      <c r="G45" s="306"/>
      <c r="H45" s="306"/>
      <c r="I45" s="306"/>
      <c r="J45" s="76" t="e">
        <f>IF(AND('Mapa final'!#REF!="Baja",'Mapa final'!#REF!="Leve"),CONCATENATE("R10C",'Mapa final'!#REF!),"")</f>
        <v>#REF!</v>
      </c>
      <c r="K45" s="77" t="e">
        <f>IF(AND('Mapa final'!#REF!="Baja",'Mapa final'!#REF!="Leve"),CONCATENATE("R10C",'Mapa final'!#REF!),"")</f>
        <v>#REF!</v>
      </c>
      <c r="L45" s="77" t="e">
        <f>IF(AND('Mapa final'!#REF!="Baja",'Mapa final'!#REF!="Leve"),CONCATENATE("R10C",'Mapa final'!#REF!),"")</f>
        <v>#REF!</v>
      </c>
      <c r="M45" s="77" t="e">
        <f>IF(AND('Mapa final'!#REF!="Baja",'Mapa final'!#REF!="Leve"),CONCATENATE("R10C",'Mapa final'!#REF!),"")</f>
        <v>#REF!</v>
      </c>
      <c r="N45" s="77" t="e">
        <f>IF(AND('Mapa final'!#REF!="Baja",'Mapa final'!#REF!="Leve"),CONCATENATE("R10C",'Mapa final'!#REF!),"")</f>
        <v>#REF!</v>
      </c>
      <c r="O45" s="78" t="e">
        <f>IF(AND('Mapa final'!#REF!="Baja",'Mapa final'!#REF!="Leve"),CONCATENATE("R10C",'Mapa final'!#REF!),"")</f>
        <v>#REF!</v>
      </c>
      <c r="P45" s="64" t="e">
        <f>IF(AND('Mapa final'!#REF!="Baja",'Mapa final'!#REF!="Menor"),CONCATENATE("R10C",'Mapa final'!#REF!),"")</f>
        <v>#REF!</v>
      </c>
      <c r="Q45" s="65" t="e">
        <f>IF(AND('Mapa final'!#REF!="Baja",'Mapa final'!#REF!="Menor"),CONCATENATE("R10C",'Mapa final'!#REF!),"")</f>
        <v>#REF!</v>
      </c>
      <c r="R45" s="65" t="e">
        <f>IF(AND('Mapa final'!#REF!="Baja",'Mapa final'!#REF!="Menor"),CONCATENATE("R10C",'Mapa final'!#REF!),"")</f>
        <v>#REF!</v>
      </c>
      <c r="S45" s="65" t="e">
        <f>IF(AND('Mapa final'!#REF!="Baja",'Mapa final'!#REF!="Menor"),CONCATENATE("R10C",'Mapa final'!#REF!),"")</f>
        <v>#REF!</v>
      </c>
      <c r="T45" s="65" t="e">
        <f>IF(AND('Mapa final'!#REF!="Baja",'Mapa final'!#REF!="Menor"),CONCATENATE("R10C",'Mapa final'!#REF!),"")</f>
        <v>#REF!</v>
      </c>
      <c r="U45" s="66" t="e">
        <f>IF(AND('Mapa final'!#REF!="Baja",'Mapa final'!#REF!="Menor"),CONCATENATE("R10C",'Mapa final'!#REF!),"")</f>
        <v>#REF!</v>
      </c>
      <c r="V45" s="67" t="e">
        <f>IF(AND('Mapa final'!#REF!="Baja",'Mapa final'!#REF!="Moderado"),CONCATENATE("R10C",'Mapa final'!#REF!),"")</f>
        <v>#REF!</v>
      </c>
      <c r="W45" s="68" t="e">
        <f>IF(AND('Mapa final'!#REF!="Baja",'Mapa final'!#REF!="Moderado"),CONCATENATE("R10C",'Mapa final'!#REF!),"")</f>
        <v>#REF!</v>
      </c>
      <c r="X45" s="68" t="e">
        <f>IF(AND('Mapa final'!#REF!="Baja",'Mapa final'!#REF!="Moderado"),CONCATENATE("R10C",'Mapa final'!#REF!),"")</f>
        <v>#REF!</v>
      </c>
      <c r="Y45" s="68" t="e">
        <f>IF(AND('Mapa final'!#REF!="Baja",'Mapa final'!#REF!="Moderado"),CONCATENATE("R10C",'Mapa final'!#REF!),"")</f>
        <v>#REF!</v>
      </c>
      <c r="Z45" s="68" t="e">
        <f>IF(AND('Mapa final'!#REF!="Baja",'Mapa final'!#REF!="Moderado"),CONCATENATE("R10C",'Mapa final'!#REF!),"")</f>
        <v>#REF!</v>
      </c>
      <c r="AA45" s="69" t="e">
        <f>IF(AND('Mapa final'!#REF!="Baja",'Mapa final'!#REF!="Moderado"),CONCATENATE("R10C",'Mapa final'!#REF!),"")</f>
        <v>#REF!</v>
      </c>
      <c r="AB45" s="55" t="e">
        <f>IF(AND('Mapa final'!#REF!="Baja",'Mapa final'!#REF!="Mayor"),CONCATENATE("R10C",'Mapa final'!#REF!),"")</f>
        <v>#REF!</v>
      </c>
      <c r="AC45" s="56" t="e">
        <f>IF(AND('Mapa final'!#REF!="Baja",'Mapa final'!#REF!="Mayor"),CONCATENATE("R10C",'Mapa final'!#REF!),"")</f>
        <v>#REF!</v>
      </c>
      <c r="AD45" s="56" t="e">
        <f>IF(AND('Mapa final'!#REF!="Baja",'Mapa final'!#REF!="Mayor"),CONCATENATE("R10C",'Mapa final'!#REF!),"")</f>
        <v>#REF!</v>
      </c>
      <c r="AE45" s="56" t="e">
        <f>IF(AND('Mapa final'!#REF!="Baja",'Mapa final'!#REF!="Mayor"),CONCATENATE("R10C",'Mapa final'!#REF!),"")</f>
        <v>#REF!</v>
      </c>
      <c r="AF45" s="56" t="e">
        <f>IF(AND('Mapa final'!#REF!="Baja",'Mapa final'!#REF!="Mayor"),CONCATENATE("R10C",'Mapa final'!#REF!),"")</f>
        <v>#REF!</v>
      </c>
      <c r="AG45" s="57" t="e">
        <f>IF(AND('Mapa final'!#REF!="Baja",'Mapa final'!#REF!="Mayor"),CONCATENATE("R10C",'Mapa final'!#REF!),"")</f>
        <v>#REF!</v>
      </c>
      <c r="AH45" s="58" t="e">
        <f>IF(AND('Mapa final'!#REF!="Baja",'Mapa final'!#REF!="Catastrófico"),CONCATENATE("R10C",'Mapa final'!#REF!),"")</f>
        <v>#REF!</v>
      </c>
      <c r="AI45" s="59" t="e">
        <f>IF(AND('Mapa final'!#REF!="Baja",'Mapa final'!#REF!="Catastrófico"),CONCATENATE("R10C",'Mapa final'!#REF!),"")</f>
        <v>#REF!</v>
      </c>
      <c r="AJ45" s="59" t="e">
        <f>IF(AND('Mapa final'!#REF!="Baja",'Mapa final'!#REF!="Catastrófico"),CONCATENATE("R10C",'Mapa final'!#REF!),"")</f>
        <v>#REF!</v>
      </c>
      <c r="AK45" s="59" t="e">
        <f>IF(AND('Mapa final'!#REF!="Baja",'Mapa final'!#REF!="Catastrófico"),CONCATENATE("R10C",'Mapa final'!#REF!),"")</f>
        <v>#REF!</v>
      </c>
      <c r="AL45" s="59" t="e">
        <f>IF(AND('Mapa final'!#REF!="Baja",'Mapa final'!#REF!="Catastrófico"),CONCATENATE("R10C",'Mapa final'!#REF!),"")</f>
        <v>#REF!</v>
      </c>
      <c r="AM45" s="60" t="e">
        <f>IF(AND('Mapa final'!#REF!="Baja",'Mapa final'!#REF!="Catastrófico"),CONCATENATE("R10C",'Mapa final'!#REF!),"")</f>
        <v>#REF!</v>
      </c>
      <c r="AN45" s="80"/>
      <c r="AO45" s="337"/>
      <c r="AP45" s="338"/>
      <c r="AQ45" s="338"/>
      <c r="AR45" s="338"/>
      <c r="AS45" s="338"/>
      <c r="AT45" s="339"/>
    </row>
    <row r="46" spans="1:80" ht="46.5" customHeight="1" x14ac:dyDescent="0.6">
      <c r="A46" s="80"/>
      <c r="B46" s="261"/>
      <c r="C46" s="261"/>
      <c r="D46" s="262"/>
      <c r="E46" s="299" t="s">
        <v>112</v>
      </c>
      <c r="F46" s="300"/>
      <c r="G46" s="300"/>
      <c r="H46" s="300"/>
      <c r="I46" s="301"/>
      <c r="J46" s="70" t="str">
        <f ca="1">IF(AND('Mapa final'!$Y$10="Muy Baja",'Mapa final'!$AA$10="Leve"),CONCATENATE("R1C",'Mapa final'!$O$10),"")</f>
        <v/>
      </c>
      <c r="K46" s="71" t="e">
        <f>IF(AND('Mapa final'!#REF!="Muy Baja",'Mapa final'!#REF!="Leve"),CONCATENATE("R1C",'Mapa final'!#REF!),"")</f>
        <v>#REF!</v>
      </c>
      <c r="L46" s="71" t="e">
        <f>IF(AND('Mapa final'!#REF!="Muy Baja",'Mapa final'!#REF!="Leve"),CONCATENATE("R1C",'Mapa final'!#REF!),"")</f>
        <v>#REF!</v>
      </c>
      <c r="M46" s="71" t="e">
        <f>IF(AND('Mapa final'!#REF!="Muy Baja",'Mapa final'!#REF!="Leve"),CONCATENATE("R1C",'Mapa final'!#REF!),"")</f>
        <v>#REF!</v>
      </c>
      <c r="N46" s="71" t="e">
        <f>IF(AND('Mapa final'!#REF!="Muy Baja",'Mapa final'!#REF!="Leve"),CONCATENATE("R1C",'Mapa final'!#REF!),"")</f>
        <v>#REF!</v>
      </c>
      <c r="O46" s="72" t="e">
        <f>IF(AND('Mapa final'!#REF!="Muy Baja",'Mapa final'!#REF!="Leve"),CONCATENATE("R1C",'Mapa final'!#REF!),"")</f>
        <v>#REF!</v>
      </c>
      <c r="P46" s="70" t="str">
        <f ca="1">IF(AND('Mapa final'!$Y$10="Muy Baja",'Mapa final'!$AA$10="Menor"),CONCATENATE("R1C",'Mapa final'!$O$10),"")</f>
        <v/>
      </c>
      <c r="Q46" s="71" t="e">
        <f>IF(AND('Mapa final'!#REF!="Muy Baja",'Mapa final'!#REF!="Menor"),CONCATENATE("R1C",'Mapa final'!#REF!),"")</f>
        <v>#REF!</v>
      </c>
      <c r="R46" s="71" t="e">
        <f>IF(AND('Mapa final'!#REF!="Muy Baja",'Mapa final'!#REF!="Menor"),CONCATENATE("R1C",'Mapa final'!#REF!),"")</f>
        <v>#REF!</v>
      </c>
      <c r="S46" s="71" t="e">
        <f>IF(AND('Mapa final'!#REF!="Muy Baja",'Mapa final'!#REF!="Menor"),CONCATENATE("R1C",'Mapa final'!#REF!),"")</f>
        <v>#REF!</v>
      </c>
      <c r="T46" s="71" t="e">
        <f>IF(AND('Mapa final'!#REF!="Muy Baja",'Mapa final'!#REF!="Menor"),CONCATENATE("R1C",'Mapa final'!#REF!),"")</f>
        <v>#REF!</v>
      </c>
      <c r="U46" s="72" t="e">
        <f>IF(AND('Mapa final'!#REF!="Muy Baja",'Mapa final'!#REF!="Menor"),CONCATENATE("R1C",'Mapa final'!#REF!),"")</f>
        <v>#REF!</v>
      </c>
      <c r="V46" s="61" t="str">
        <f ca="1">IF(AND('Mapa final'!$Y$10="Muy Baja",'Mapa final'!$AA$10="Moderado"),CONCATENATE("R1C",'Mapa final'!$O$10),"")</f>
        <v/>
      </c>
      <c r="W46" s="79" t="e">
        <f>IF(AND('Mapa final'!#REF!="Muy Baja",'Mapa final'!#REF!="Moderado"),CONCATENATE("R1C",'Mapa final'!#REF!),"")</f>
        <v>#REF!</v>
      </c>
      <c r="X46" s="62" t="e">
        <f>IF(AND('Mapa final'!#REF!="Muy Baja",'Mapa final'!#REF!="Moderado"),CONCATENATE("R1C",'Mapa final'!#REF!),"")</f>
        <v>#REF!</v>
      </c>
      <c r="Y46" s="62" t="e">
        <f>IF(AND('Mapa final'!#REF!="Muy Baja",'Mapa final'!#REF!="Moderado"),CONCATENATE("R1C",'Mapa final'!#REF!),"")</f>
        <v>#REF!</v>
      </c>
      <c r="Z46" s="62" t="e">
        <f>IF(AND('Mapa final'!#REF!="Muy Baja",'Mapa final'!#REF!="Moderado"),CONCATENATE("R1C",'Mapa final'!#REF!),"")</f>
        <v>#REF!</v>
      </c>
      <c r="AA46" s="63" t="e">
        <f>IF(AND('Mapa final'!#REF!="Muy Baja",'Mapa final'!#REF!="Moderado"),CONCATENATE("R1C",'Mapa final'!#REF!),"")</f>
        <v>#REF!</v>
      </c>
      <c r="AB46" s="42" t="str">
        <f ca="1">IF(AND('Mapa final'!$Y$10="Muy Baja",'Mapa final'!$AA$10="Mayor"),CONCATENATE("R1C",'Mapa final'!$O$10),"")</f>
        <v/>
      </c>
      <c r="AC46" s="43" t="e">
        <f>IF(AND('Mapa final'!#REF!="Muy Baja",'Mapa final'!#REF!="Mayor"),CONCATENATE("R1C",'Mapa final'!#REF!),"")</f>
        <v>#REF!</v>
      </c>
      <c r="AD46" s="43" t="e">
        <f>IF(AND('Mapa final'!#REF!="Muy Baja",'Mapa final'!#REF!="Mayor"),CONCATENATE("R1C",'Mapa final'!#REF!),"")</f>
        <v>#REF!</v>
      </c>
      <c r="AE46" s="43" t="e">
        <f>IF(AND('Mapa final'!#REF!="Muy Baja",'Mapa final'!#REF!="Mayor"),CONCATENATE("R1C",'Mapa final'!#REF!),"")</f>
        <v>#REF!</v>
      </c>
      <c r="AF46" s="43" t="e">
        <f>IF(AND('Mapa final'!#REF!="Muy Baja",'Mapa final'!#REF!="Mayor"),CONCATENATE("R1C",'Mapa final'!#REF!),"")</f>
        <v>#REF!</v>
      </c>
      <c r="AG46" s="44" t="e">
        <f>IF(AND('Mapa final'!#REF!="Muy Baja",'Mapa final'!#REF!="Mayor"),CONCATENATE("R1C",'Mapa final'!#REF!),"")</f>
        <v>#REF!</v>
      </c>
      <c r="AH46" s="45" t="str">
        <f ca="1">IF(AND('Mapa final'!$Y$10="Muy Baja",'Mapa final'!$AA$10="Catastrófico"),CONCATENATE("R1C",'Mapa final'!$O$10),"")</f>
        <v/>
      </c>
      <c r="AI46" s="46" t="e">
        <f>IF(AND('Mapa final'!#REF!="Muy Baja",'Mapa final'!#REF!="Catastrófico"),CONCATENATE("R1C",'Mapa final'!#REF!),"")</f>
        <v>#REF!</v>
      </c>
      <c r="AJ46" s="46" t="e">
        <f>IF(AND('Mapa final'!#REF!="Muy Baja",'Mapa final'!#REF!="Catastrófico"),CONCATENATE("R1C",'Mapa final'!#REF!),"")</f>
        <v>#REF!</v>
      </c>
      <c r="AK46" s="46" t="e">
        <f>IF(AND('Mapa final'!#REF!="Muy Baja",'Mapa final'!#REF!="Catastrófico"),CONCATENATE("R1C",'Mapa final'!#REF!),"")</f>
        <v>#REF!</v>
      </c>
      <c r="AL46" s="46" t="e">
        <f>IF(AND('Mapa final'!#REF!="Muy Baja",'Mapa final'!#REF!="Catastrófico"),CONCATENATE("R1C",'Mapa final'!#REF!),"")</f>
        <v>#REF!</v>
      </c>
      <c r="AM46" s="47" t="e">
        <f>IF(AND('Mapa final'!#REF!="Muy Baja",'Mapa final'!#REF!="Catastrófico"),CONCATENATE("R1C",'Mapa final'!#REF!),"")</f>
        <v>#REF!</v>
      </c>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row>
    <row r="47" spans="1:80" ht="46.5" customHeight="1" x14ac:dyDescent="0.45">
      <c r="A47" s="80"/>
      <c r="B47" s="261"/>
      <c r="C47" s="261"/>
      <c r="D47" s="262"/>
      <c r="E47" s="318"/>
      <c r="F47" s="319"/>
      <c r="G47" s="319"/>
      <c r="H47" s="319"/>
      <c r="I47" s="304"/>
      <c r="J47" s="73" t="str">
        <f ca="1">IF(AND('Mapa final'!$Y$11="Muy Baja",'Mapa final'!$AA$11="Leve"),CONCATENATE("R2C",'Mapa final'!$O$11),"")</f>
        <v/>
      </c>
      <c r="K47" s="74" t="str">
        <f ca="1">IF(AND('Mapa final'!$Y$12="Muy Baja",'Mapa final'!$AA$12="Leve"),CONCATENATE("R2C",'Mapa final'!$O$12),"")</f>
        <v/>
      </c>
      <c r="L47" s="74" t="str">
        <f ca="1">IF(AND('Mapa final'!$Y$13="Muy Baja",'Mapa final'!$AA$13="Leve"),CONCATENATE("R2C",'Mapa final'!$O$13),"")</f>
        <v/>
      </c>
      <c r="M47" s="74" t="str">
        <f ca="1">IF(AND('Mapa final'!$Y$14="Muy Baja",'Mapa final'!$AA$14="Leve"),CONCATENATE("R2C",'Mapa final'!$O$14),"")</f>
        <v/>
      </c>
      <c r="N47" s="74" t="e">
        <f>IF(AND('Mapa final'!#REF!="Muy Baja",'Mapa final'!#REF!="Leve"),CONCATENATE("R2C",'Mapa final'!#REF!),"")</f>
        <v>#REF!</v>
      </c>
      <c r="O47" s="75" t="e">
        <f>IF(AND('Mapa final'!#REF!="Muy Baja",'Mapa final'!#REF!="Leve"),CONCATENATE("R2C",'Mapa final'!#REF!),"")</f>
        <v>#REF!</v>
      </c>
      <c r="P47" s="73" t="str">
        <f ca="1">IF(AND('Mapa final'!$Y$11="Muy Baja",'Mapa final'!$AA$11="Menor"),CONCATENATE("R2C",'Mapa final'!$O$11),"")</f>
        <v/>
      </c>
      <c r="Q47" s="74" t="str">
        <f ca="1">IF(AND('Mapa final'!$Y$12="Muy Baja",'Mapa final'!$AA$12="Menor"),CONCATENATE("R2C",'Mapa final'!$O$12),"")</f>
        <v/>
      </c>
      <c r="R47" s="74" t="str">
        <f ca="1">IF(AND('Mapa final'!$Y$13="Muy Baja",'Mapa final'!$AA$13="Menor"),CONCATENATE("R2C",'Mapa final'!$O$13),"")</f>
        <v/>
      </c>
      <c r="S47" s="74" t="str">
        <f ca="1">IF(AND('Mapa final'!$Y$14="Muy Baja",'Mapa final'!$AA$14="Menor"),CONCATENATE("R2C",'Mapa final'!$O$14),"")</f>
        <v/>
      </c>
      <c r="T47" s="74" t="e">
        <f>IF(AND('Mapa final'!#REF!="Muy Baja",'Mapa final'!#REF!="Menor"),CONCATENATE("R2C",'Mapa final'!#REF!),"")</f>
        <v>#REF!</v>
      </c>
      <c r="U47" s="75" t="e">
        <f>IF(AND('Mapa final'!#REF!="Muy Baja",'Mapa final'!#REF!="Menor"),CONCATENATE("R2C",'Mapa final'!#REF!),"")</f>
        <v>#REF!</v>
      </c>
      <c r="V47" s="64" t="str">
        <f ca="1">IF(AND('Mapa final'!$Y$11="Muy Baja",'Mapa final'!$AA$11="Moderado"),CONCATENATE("R2C",'Mapa final'!$O$11),"")</f>
        <v/>
      </c>
      <c r="W47" s="65" t="str">
        <f ca="1">IF(AND('Mapa final'!$Y$12="Muy Baja",'Mapa final'!$AA$12="Moderado"),CONCATENATE("R2C",'Mapa final'!$O$12),"")</f>
        <v/>
      </c>
      <c r="X47" s="65" t="str">
        <f ca="1">IF(AND('Mapa final'!$Y$13="Muy Baja",'Mapa final'!$AA$13="Moderado"),CONCATENATE("R2C",'Mapa final'!$O$13),"")</f>
        <v/>
      </c>
      <c r="Y47" s="65" t="str">
        <f ca="1">IF(AND('Mapa final'!$Y$14="Muy Baja",'Mapa final'!$AA$14="Moderado"),CONCATENATE("R2C",'Mapa final'!$O$14),"")</f>
        <v/>
      </c>
      <c r="Z47" s="65" t="e">
        <f>IF(AND('Mapa final'!#REF!="Muy Baja",'Mapa final'!#REF!="Moderado"),CONCATENATE("R2C",'Mapa final'!#REF!),"")</f>
        <v>#REF!</v>
      </c>
      <c r="AA47" s="66" t="e">
        <f>IF(AND('Mapa final'!#REF!="Muy Baja",'Mapa final'!#REF!="Moderado"),CONCATENATE("R2C",'Mapa final'!#REF!),"")</f>
        <v>#REF!</v>
      </c>
      <c r="AB47" s="48" t="str">
        <f ca="1">IF(AND('Mapa final'!$Y$11="Muy Baja",'Mapa final'!$AA$11="Mayor"),CONCATENATE("R2C",'Mapa final'!$O$11),"")</f>
        <v/>
      </c>
      <c r="AC47" s="49" t="str">
        <f ca="1">IF(AND('Mapa final'!$Y$12="Muy Baja",'Mapa final'!$AA$12="Mayor"),CONCATENATE("R2C",'Mapa final'!$O$12),"")</f>
        <v/>
      </c>
      <c r="AD47" s="49" t="str">
        <f ca="1">IF(AND('Mapa final'!$Y$13="Muy Baja",'Mapa final'!$AA$13="Mayor"),CONCATENATE("R2C",'Mapa final'!$O$13),"")</f>
        <v>R2C3</v>
      </c>
      <c r="AE47" s="49" t="str">
        <f ca="1">IF(AND('Mapa final'!$Y$14="Muy Baja",'Mapa final'!$AA$14="Mayor"),CONCATENATE("R2C",'Mapa final'!$O$14),"")</f>
        <v>R2C4</v>
      </c>
      <c r="AF47" s="49" t="e">
        <f>IF(AND('Mapa final'!#REF!="Muy Baja",'Mapa final'!#REF!="Mayor"),CONCATENATE("R2C",'Mapa final'!#REF!),"")</f>
        <v>#REF!</v>
      </c>
      <c r="AG47" s="50" t="e">
        <f>IF(AND('Mapa final'!#REF!="Muy Baja",'Mapa final'!#REF!="Mayor"),CONCATENATE("R2C",'Mapa final'!#REF!),"")</f>
        <v>#REF!</v>
      </c>
      <c r="AH47" s="51" t="str">
        <f ca="1">IF(AND('Mapa final'!$Y$11="Muy Baja",'Mapa final'!$AA$11="Catastrófico"),CONCATENATE("R2C",'Mapa final'!$O$11),"")</f>
        <v/>
      </c>
      <c r="AI47" s="52" t="str">
        <f ca="1">IF(AND('Mapa final'!$Y$12="Muy Baja",'Mapa final'!$AA$12="Catastrófico"),CONCATENATE("R2C",'Mapa final'!$O$12),"")</f>
        <v/>
      </c>
      <c r="AJ47" s="52" t="str">
        <f ca="1">IF(AND('Mapa final'!$Y$13="Muy Baja",'Mapa final'!$AA$13="Catastrófico"),CONCATENATE("R2C",'Mapa final'!$O$13),"")</f>
        <v/>
      </c>
      <c r="AK47" s="52" t="str">
        <f ca="1">IF(AND('Mapa final'!$Y$14="Muy Baja",'Mapa final'!$AA$14="Catastrófico"),CONCATENATE("R2C",'Mapa final'!$O$14),"")</f>
        <v/>
      </c>
      <c r="AL47" s="52" t="e">
        <f>IF(AND('Mapa final'!#REF!="Muy Baja",'Mapa final'!#REF!="Catastrófico"),CONCATENATE("R2C",'Mapa final'!#REF!),"")</f>
        <v>#REF!</v>
      </c>
      <c r="AM47" s="53" t="e">
        <f>IF(AND('Mapa final'!#REF!="Muy Baja",'Mapa final'!#REF!="Catastrófico"),CONCATENATE("R2C",'Mapa final'!#REF!),"")</f>
        <v>#REF!</v>
      </c>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row>
    <row r="48" spans="1:80" ht="15" customHeight="1" x14ac:dyDescent="0.45">
      <c r="A48" s="80"/>
      <c r="B48" s="261"/>
      <c r="C48" s="261"/>
      <c r="D48" s="262"/>
      <c r="E48" s="318"/>
      <c r="F48" s="319"/>
      <c r="G48" s="319"/>
      <c r="H48" s="319"/>
      <c r="I48" s="304"/>
      <c r="J48" s="73" t="str">
        <f ca="1">IF(AND('Mapa final'!$Y$15="Muy Baja",'Mapa final'!$AA$15="Leve"),CONCATENATE("R3C",'Mapa final'!$O$15),"")</f>
        <v/>
      </c>
      <c r="K48" s="74" t="str">
        <f ca="1">IF(AND('Mapa final'!$Y$16="Muy Baja",'Mapa final'!$AA$16="Leve"),CONCATENATE("R3C",'Mapa final'!$O$16),"")</f>
        <v/>
      </c>
      <c r="L48" s="74" t="e">
        <f>IF(AND('Mapa final'!#REF!="Muy Baja",'Mapa final'!#REF!="Leve"),CONCATENATE("R3C",'Mapa final'!#REF!),"")</f>
        <v>#REF!</v>
      </c>
      <c r="M48" s="74" t="e">
        <f>IF(AND('Mapa final'!#REF!="Muy Baja",'Mapa final'!#REF!="Leve"),CONCATENATE("R3C",'Mapa final'!#REF!),"")</f>
        <v>#REF!</v>
      </c>
      <c r="N48" s="74" t="e">
        <f>IF(AND('Mapa final'!#REF!="Muy Baja",'Mapa final'!#REF!="Leve"),CONCATENATE("R3C",'Mapa final'!#REF!),"")</f>
        <v>#REF!</v>
      </c>
      <c r="O48" s="75" t="e">
        <f>IF(AND('Mapa final'!#REF!="Muy Baja",'Mapa final'!#REF!="Leve"),CONCATENATE("R3C",'Mapa final'!#REF!),"")</f>
        <v>#REF!</v>
      </c>
      <c r="P48" s="73" t="str">
        <f ca="1">IF(AND('Mapa final'!$Y$15="Muy Baja",'Mapa final'!$AA$15="Menor"),CONCATENATE("R3C",'Mapa final'!$O$15),"")</f>
        <v/>
      </c>
      <c r="Q48" s="74" t="str">
        <f ca="1">IF(AND('Mapa final'!$Y$16="Muy Baja",'Mapa final'!$AA$16="Menor"),CONCATENATE("R3C",'Mapa final'!$O$16),"")</f>
        <v/>
      </c>
      <c r="R48" s="74" t="e">
        <f>IF(AND('Mapa final'!#REF!="Muy Baja",'Mapa final'!#REF!="Menor"),CONCATENATE("R3C",'Mapa final'!#REF!),"")</f>
        <v>#REF!</v>
      </c>
      <c r="S48" s="74" t="e">
        <f>IF(AND('Mapa final'!#REF!="Muy Baja",'Mapa final'!#REF!="Menor"),CONCATENATE("R3C",'Mapa final'!#REF!),"")</f>
        <v>#REF!</v>
      </c>
      <c r="T48" s="74" t="e">
        <f>IF(AND('Mapa final'!#REF!="Muy Baja",'Mapa final'!#REF!="Menor"),CONCATENATE("R3C",'Mapa final'!#REF!),"")</f>
        <v>#REF!</v>
      </c>
      <c r="U48" s="75" t="e">
        <f>IF(AND('Mapa final'!#REF!="Muy Baja",'Mapa final'!#REF!="Menor"),CONCATENATE("R3C",'Mapa final'!#REF!),"")</f>
        <v>#REF!</v>
      </c>
      <c r="V48" s="64" t="str">
        <f ca="1">IF(AND('Mapa final'!$Y$15="Muy Baja",'Mapa final'!$AA$15="Moderado"),CONCATENATE("R3C",'Mapa final'!$O$15),"")</f>
        <v/>
      </c>
      <c r="W48" s="65" t="str">
        <f ca="1">IF(AND('Mapa final'!$Y$16="Muy Baja",'Mapa final'!$AA$16="Moderado"),CONCATENATE("R3C",'Mapa final'!$O$16),"")</f>
        <v/>
      </c>
      <c r="X48" s="65" t="e">
        <f>IF(AND('Mapa final'!#REF!="Muy Baja",'Mapa final'!#REF!="Moderado"),CONCATENATE("R3C",'Mapa final'!#REF!),"")</f>
        <v>#REF!</v>
      </c>
      <c r="Y48" s="65" t="e">
        <f>IF(AND('Mapa final'!#REF!="Muy Baja",'Mapa final'!#REF!="Moderado"),CONCATENATE("R3C",'Mapa final'!#REF!),"")</f>
        <v>#REF!</v>
      </c>
      <c r="Z48" s="65" t="e">
        <f>IF(AND('Mapa final'!#REF!="Muy Baja",'Mapa final'!#REF!="Moderado"),CONCATENATE("R3C",'Mapa final'!#REF!),"")</f>
        <v>#REF!</v>
      </c>
      <c r="AA48" s="66" t="e">
        <f>IF(AND('Mapa final'!#REF!="Muy Baja",'Mapa final'!#REF!="Moderado"),CONCATENATE("R3C",'Mapa final'!#REF!),"")</f>
        <v>#REF!</v>
      </c>
      <c r="AB48" s="48" t="str">
        <f ca="1">IF(AND('Mapa final'!$Y$15="Muy Baja",'Mapa final'!$AA$15="Mayor"),CONCATENATE("R3C",'Mapa final'!$O$15),"")</f>
        <v/>
      </c>
      <c r="AC48" s="49" t="str">
        <f ca="1">IF(AND('Mapa final'!$Y$16="Muy Baja",'Mapa final'!$AA$16="Mayor"),CONCATENATE("R3C",'Mapa final'!$O$16),"")</f>
        <v/>
      </c>
      <c r="AD48" s="49" t="e">
        <f>IF(AND('Mapa final'!#REF!="Muy Baja",'Mapa final'!#REF!="Mayor"),CONCATENATE("R3C",'Mapa final'!#REF!),"")</f>
        <v>#REF!</v>
      </c>
      <c r="AE48" s="49" t="e">
        <f>IF(AND('Mapa final'!#REF!="Muy Baja",'Mapa final'!#REF!="Mayor"),CONCATENATE("R3C",'Mapa final'!#REF!),"")</f>
        <v>#REF!</v>
      </c>
      <c r="AF48" s="49" t="e">
        <f>IF(AND('Mapa final'!#REF!="Muy Baja",'Mapa final'!#REF!="Mayor"),CONCATENATE("R3C",'Mapa final'!#REF!),"")</f>
        <v>#REF!</v>
      </c>
      <c r="AG48" s="50" t="e">
        <f>IF(AND('Mapa final'!#REF!="Muy Baja",'Mapa final'!#REF!="Mayor"),CONCATENATE("R3C",'Mapa final'!#REF!),"")</f>
        <v>#REF!</v>
      </c>
      <c r="AH48" s="51" t="str">
        <f ca="1">IF(AND('Mapa final'!$Y$15="Muy Baja",'Mapa final'!$AA$15="Catastrófico"),CONCATENATE("R3C",'Mapa final'!$O$15),"")</f>
        <v/>
      </c>
      <c r="AI48" s="52" t="str">
        <f ca="1">IF(AND('Mapa final'!$Y$16="Muy Baja",'Mapa final'!$AA$16="Catastrófico"),CONCATENATE("R3C",'Mapa final'!$O$16),"")</f>
        <v/>
      </c>
      <c r="AJ48" s="52" t="e">
        <f>IF(AND('Mapa final'!#REF!="Muy Baja",'Mapa final'!#REF!="Catastrófico"),CONCATENATE("R3C",'Mapa final'!#REF!),"")</f>
        <v>#REF!</v>
      </c>
      <c r="AK48" s="52" t="e">
        <f>IF(AND('Mapa final'!#REF!="Muy Baja",'Mapa final'!#REF!="Catastrófico"),CONCATENATE("R3C",'Mapa final'!#REF!),"")</f>
        <v>#REF!</v>
      </c>
      <c r="AL48" s="52" t="e">
        <f>IF(AND('Mapa final'!#REF!="Muy Baja",'Mapa final'!#REF!="Catastrófico"),CONCATENATE("R3C",'Mapa final'!#REF!),"")</f>
        <v>#REF!</v>
      </c>
      <c r="AM48" s="53" t="e">
        <f>IF(AND('Mapa final'!#REF!="Muy Baja",'Mapa final'!#REF!="Catastrófico"),CONCATENATE("R3C",'Mapa final'!#REF!),"")</f>
        <v>#REF!</v>
      </c>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row>
    <row r="49" spans="1:80" ht="15" customHeight="1" x14ac:dyDescent="0.45">
      <c r="A49" s="80"/>
      <c r="B49" s="261"/>
      <c r="C49" s="261"/>
      <c r="D49" s="262"/>
      <c r="E49" s="302"/>
      <c r="F49" s="303"/>
      <c r="G49" s="303"/>
      <c r="H49" s="303"/>
      <c r="I49" s="304"/>
      <c r="J49" s="73" t="str">
        <f ca="1">IF(AND('Mapa final'!$Y$17="Muy Baja",'Mapa final'!$AA$17="Leve"),CONCATENATE("R4C",'Mapa final'!$O$17),"")</f>
        <v/>
      </c>
      <c r="K49" s="74" t="e">
        <f>IF(AND('Mapa final'!#REF!="Muy Baja",'Mapa final'!#REF!="Leve"),CONCATENATE("R4C",'Mapa final'!#REF!),"")</f>
        <v>#REF!</v>
      </c>
      <c r="L49" s="74" t="e">
        <f>IF(AND('Mapa final'!#REF!="Muy Baja",'Mapa final'!#REF!="Leve"),CONCATENATE("R4C",'Mapa final'!#REF!),"")</f>
        <v>#REF!</v>
      </c>
      <c r="M49" s="74" t="e">
        <f>IF(AND('Mapa final'!#REF!="Muy Baja",'Mapa final'!#REF!="Leve"),CONCATENATE("R4C",'Mapa final'!#REF!),"")</f>
        <v>#REF!</v>
      </c>
      <c r="N49" s="74" t="e">
        <f>IF(AND('Mapa final'!#REF!="Muy Baja",'Mapa final'!#REF!="Leve"),CONCATENATE("R4C",'Mapa final'!#REF!),"")</f>
        <v>#REF!</v>
      </c>
      <c r="O49" s="75" t="e">
        <f>IF(AND('Mapa final'!#REF!="Muy Baja",'Mapa final'!#REF!="Leve"),CONCATENATE("R4C",'Mapa final'!#REF!),"")</f>
        <v>#REF!</v>
      </c>
      <c r="P49" s="73" t="str">
        <f ca="1">IF(AND('Mapa final'!$Y$17="Muy Baja",'Mapa final'!$AA$17="Menor"),CONCATENATE("R4C",'Mapa final'!$O$17),"")</f>
        <v/>
      </c>
      <c r="Q49" s="74" t="e">
        <f>IF(AND('Mapa final'!#REF!="Muy Baja",'Mapa final'!#REF!="Menor"),CONCATENATE("R4C",'Mapa final'!#REF!),"")</f>
        <v>#REF!</v>
      </c>
      <c r="R49" s="74" t="e">
        <f>IF(AND('Mapa final'!#REF!="Muy Baja",'Mapa final'!#REF!="Menor"),CONCATENATE("R4C",'Mapa final'!#REF!),"")</f>
        <v>#REF!</v>
      </c>
      <c r="S49" s="74" t="e">
        <f>IF(AND('Mapa final'!#REF!="Muy Baja",'Mapa final'!#REF!="Menor"),CONCATENATE("R4C",'Mapa final'!#REF!),"")</f>
        <v>#REF!</v>
      </c>
      <c r="T49" s="74" t="e">
        <f>IF(AND('Mapa final'!#REF!="Muy Baja",'Mapa final'!#REF!="Menor"),CONCATENATE("R4C",'Mapa final'!#REF!),"")</f>
        <v>#REF!</v>
      </c>
      <c r="U49" s="75" t="e">
        <f>IF(AND('Mapa final'!#REF!="Muy Baja",'Mapa final'!#REF!="Menor"),CONCATENATE("R4C",'Mapa final'!#REF!),"")</f>
        <v>#REF!</v>
      </c>
      <c r="V49" s="64" t="str">
        <f ca="1">IF(AND('Mapa final'!$Y$17="Muy Baja",'Mapa final'!$AA$17="Moderado"),CONCATENATE("R4C",'Mapa final'!$O$17),"")</f>
        <v/>
      </c>
      <c r="W49" s="65" t="e">
        <f>IF(AND('Mapa final'!#REF!="Muy Baja",'Mapa final'!#REF!="Moderado"),CONCATENATE("R4C",'Mapa final'!#REF!),"")</f>
        <v>#REF!</v>
      </c>
      <c r="X49" s="65" t="e">
        <f>IF(AND('Mapa final'!#REF!="Muy Baja",'Mapa final'!#REF!="Moderado"),CONCATENATE("R4C",'Mapa final'!#REF!),"")</f>
        <v>#REF!</v>
      </c>
      <c r="Y49" s="65" t="e">
        <f>IF(AND('Mapa final'!#REF!="Muy Baja",'Mapa final'!#REF!="Moderado"),CONCATENATE("R4C",'Mapa final'!#REF!),"")</f>
        <v>#REF!</v>
      </c>
      <c r="Z49" s="65" t="e">
        <f>IF(AND('Mapa final'!#REF!="Muy Baja",'Mapa final'!#REF!="Moderado"),CONCATENATE("R4C",'Mapa final'!#REF!),"")</f>
        <v>#REF!</v>
      </c>
      <c r="AA49" s="66" t="e">
        <f>IF(AND('Mapa final'!#REF!="Muy Baja",'Mapa final'!#REF!="Moderado"),CONCATENATE("R4C",'Mapa final'!#REF!),"")</f>
        <v>#REF!</v>
      </c>
      <c r="AB49" s="48" t="str">
        <f ca="1">IF(AND('Mapa final'!$Y$17="Muy Baja",'Mapa final'!$AA$17="Mayor"),CONCATENATE("R4C",'Mapa final'!$O$17),"")</f>
        <v/>
      </c>
      <c r="AC49" s="49" t="e">
        <f>IF(AND('Mapa final'!#REF!="Muy Baja",'Mapa final'!#REF!="Mayor"),CONCATENATE("R4C",'Mapa final'!#REF!),"")</f>
        <v>#REF!</v>
      </c>
      <c r="AD49" s="49" t="e">
        <f>IF(AND('Mapa final'!#REF!="Muy Baja",'Mapa final'!#REF!="Mayor"),CONCATENATE("R4C",'Mapa final'!#REF!),"")</f>
        <v>#REF!</v>
      </c>
      <c r="AE49" s="49" t="e">
        <f>IF(AND('Mapa final'!#REF!="Muy Baja",'Mapa final'!#REF!="Mayor"),CONCATENATE("R4C",'Mapa final'!#REF!),"")</f>
        <v>#REF!</v>
      </c>
      <c r="AF49" s="49" t="e">
        <f>IF(AND('Mapa final'!#REF!="Muy Baja",'Mapa final'!#REF!="Mayor"),CONCATENATE("R4C",'Mapa final'!#REF!),"")</f>
        <v>#REF!</v>
      </c>
      <c r="AG49" s="50" t="e">
        <f>IF(AND('Mapa final'!#REF!="Muy Baja",'Mapa final'!#REF!="Mayor"),CONCATENATE("R4C",'Mapa final'!#REF!),"")</f>
        <v>#REF!</v>
      </c>
      <c r="AH49" s="51" t="str">
        <f ca="1">IF(AND('Mapa final'!$Y$17="Muy Baja",'Mapa final'!$AA$17="Catastrófico"),CONCATENATE("R4C",'Mapa final'!$O$17),"")</f>
        <v/>
      </c>
      <c r="AI49" s="52" t="e">
        <f>IF(AND('Mapa final'!#REF!="Muy Baja",'Mapa final'!#REF!="Catastrófico"),CONCATENATE("R4C",'Mapa final'!#REF!),"")</f>
        <v>#REF!</v>
      </c>
      <c r="AJ49" s="52" t="e">
        <f>IF(AND('Mapa final'!#REF!="Muy Baja",'Mapa final'!#REF!="Catastrófico"),CONCATENATE("R4C",'Mapa final'!#REF!),"")</f>
        <v>#REF!</v>
      </c>
      <c r="AK49" s="52" t="e">
        <f>IF(AND('Mapa final'!#REF!="Muy Baja",'Mapa final'!#REF!="Catastrófico"),CONCATENATE("R4C",'Mapa final'!#REF!),"")</f>
        <v>#REF!</v>
      </c>
      <c r="AL49" s="52" t="e">
        <f>IF(AND('Mapa final'!#REF!="Muy Baja",'Mapa final'!#REF!="Catastrófico"),CONCATENATE("R4C",'Mapa final'!#REF!),"")</f>
        <v>#REF!</v>
      </c>
      <c r="AM49" s="53" t="e">
        <f>IF(AND('Mapa final'!#REF!="Muy Baja",'Mapa final'!#REF!="Catastrófico"),CONCATENATE("R4C",'Mapa final'!#REF!),"")</f>
        <v>#REF!</v>
      </c>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row>
    <row r="50" spans="1:80" ht="15" customHeight="1" x14ac:dyDescent="0.45">
      <c r="A50" s="80"/>
      <c r="B50" s="261"/>
      <c r="C50" s="261"/>
      <c r="D50" s="262"/>
      <c r="E50" s="302"/>
      <c r="F50" s="303"/>
      <c r="G50" s="303"/>
      <c r="H50" s="303"/>
      <c r="I50" s="304"/>
      <c r="J50" s="73" t="str">
        <f ca="1">IF(AND('Mapa final'!$Y$18="Muy Baja",'Mapa final'!$AA$18="Leve"),CONCATENATE("R5C",'Mapa final'!$O$18),"")</f>
        <v/>
      </c>
      <c r="K50" s="74" t="str">
        <f ca="1">IF(AND('Mapa final'!$Y$19="Muy Baja",'Mapa final'!$AA$19="Leve"),CONCATENATE("R5C",'Mapa final'!$O$19),"")</f>
        <v/>
      </c>
      <c r="L50" s="74" t="e">
        <f>IF(AND('Mapa final'!#REF!="Muy Baja",'Mapa final'!#REF!="Leve"),CONCATENATE("R5C",'Mapa final'!#REF!),"")</f>
        <v>#REF!</v>
      </c>
      <c r="M50" s="74" t="e">
        <f>IF(AND('Mapa final'!#REF!="Muy Baja",'Mapa final'!#REF!="Leve"),CONCATENATE("R5C",'Mapa final'!#REF!),"")</f>
        <v>#REF!</v>
      </c>
      <c r="N50" s="74" t="e">
        <f>IF(AND('Mapa final'!#REF!="Muy Baja",'Mapa final'!#REF!="Leve"),CONCATENATE("R5C",'Mapa final'!#REF!),"")</f>
        <v>#REF!</v>
      </c>
      <c r="O50" s="75" t="e">
        <f>IF(AND('Mapa final'!#REF!="Muy Baja",'Mapa final'!#REF!="Leve"),CONCATENATE("R5C",'Mapa final'!#REF!),"")</f>
        <v>#REF!</v>
      </c>
      <c r="P50" s="73" t="str">
        <f ca="1">IF(AND('Mapa final'!$Y$18="Muy Baja",'Mapa final'!$AA$18="Menor"),CONCATENATE("R5C",'Mapa final'!$O$18),"")</f>
        <v/>
      </c>
      <c r="Q50" s="74" t="str">
        <f ca="1">IF(AND('Mapa final'!$Y$19="Muy Baja",'Mapa final'!$AA$19="Menor"),CONCATENATE("R5C",'Mapa final'!$O$19),"")</f>
        <v/>
      </c>
      <c r="R50" s="74" t="e">
        <f>IF(AND('Mapa final'!#REF!="Muy Baja",'Mapa final'!#REF!="Menor"),CONCATENATE("R5C",'Mapa final'!#REF!),"")</f>
        <v>#REF!</v>
      </c>
      <c r="S50" s="74" t="e">
        <f>IF(AND('Mapa final'!#REF!="Muy Baja",'Mapa final'!#REF!="Menor"),CONCATENATE("R5C",'Mapa final'!#REF!),"")</f>
        <v>#REF!</v>
      </c>
      <c r="T50" s="74" t="e">
        <f>IF(AND('Mapa final'!#REF!="Muy Baja",'Mapa final'!#REF!="Menor"),CONCATENATE("R5C",'Mapa final'!#REF!),"")</f>
        <v>#REF!</v>
      </c>
      <c r="U50" s="75" t="e">
        <f>IF(AND('Mapa final'!#REF!="Muy Baja",'Mapa final'!#REF!="Menor"),CONCATENATE("R5C",'Mapa final'!#REF!),"")</f>
        <v>#REF!</v>
      </c>
      <c r="V50" s="64" t="str">
        <f ca="1">IF(AND('Mapa final'!$Y$18="Muy Baja",'Mapa final'!$AA$18="Moderado"),CONCATENATE("R5C",'Mapa final'!$O$18),"")</f>
        <v/>
      </c>
      <c r="W50" s="65" t="str">
        <f ca="1">IF(AND('Mapa final'!$Y$19="Muy Baja",'Mapa final'!$AA$19="Moderado"),CONCATENATE("R5C",'Mapa final'!$O$19),"")</f>
        <v/>
      </c>
      <c r="X50" s="65" t="e">
        <f>IF(AND('Mapa final'!#REF!="Muy Baja",'Mapa final'!#REF!="Moderado"),CONCATENATE("R5C",'Mapa final'!#REF!),"")</f>
        <v>#REF!</v>
      </c>
      <c r="Y50" s="65" t="e">
        <f>IF(AND('Mapa final'!#REF!="Muy Baja",'Mapa final'!#REF!="Moderado"),CONCATENATE("R5C",'Mapa final'!#REF!),"")</f>
        <v>#REF!</v>
      </c>
      <c r="Z50" s="65" t="e">
        <f>IF(AND('Mapa final'!#REF!="Muy Baja",'Mapa final'!#REF!="Moderado"),CONCATENATE("R5C",'Mapa final'!#REF!),"")</f>
        <v>#REF!</v>
      </c>
      <c r="AA50" s="66" t="e">
        <f>IF(AND('Mapa final'!#REF!="Muy Baja",'Mapa final'!#REF!="Moderado"),CONCATENATE("R5C",'Mapa final'!#REF!),"")</f>
        <v>#REF!</v>
      </c>
      <c r="AB50" s="48" t="str">
        <f ca="1">IF(AND('Mapa final'!$Y$18="Muy Baja",'Mapa final'!$AA$18="Mayor"),CONCATENATE("R5C",'Mapa final'!$O$18),"")</f>
        <v/>
      </c>
      <c r="AC50" s="49" t="str">
        <f ca="1">IF(AND('Mapa final'!$Y$19="Muy Baja",'Mapa final'!$AA$19="Mayor"),CONCATENATE("R5C",'Mapa final'!$O$19),"")</f>
        <v/>
      </c>
      <c r="AD50" s="54" t="e">
        <f>IF(AND('Mapa final'!#REF!="Muy Baja",'Mapa final'!#REF!="Mayor"),CONCATENATE("R5C",'Mapa final'!#REF!),"")</f>
        <v>#REF!</v>
      </c>
      <c r="AE50" s="54" t="e">
        <f>IF(AND('Mapa final'!#REF!="Muy Baja",'Mapa final'!#REF!="Mayor"),CONCATENATE("R5C",'Mapa final'!#REF!),"")</f>
        <v>#REF!</v>
      </c>
      <c r="AF50" s="54" t="e">
        <f>IF(AND('Mapa final'!#REF!="Muy Baja",'Mapa final'!#REF!="Mayor"),CONCATENATE("R5C",'Mapa final'!#REF!),"")</f>
        <v>#REF!</v>
      </c>
      <c r="AG50" s="50" t="e">
        <f>IF(AND('Mapa final'!#REF!="Muy Baja",'Mapa final'!#REF!="Mayor"),CONCATENATE("R5C",'Mapa final'!#REF!),"")</f>
        <v>#REF!</v>
      </c>
      <c r="AH50" s="51" t="str">
        <f ca="1">IF(AND('Mapa final'!$Y$18="Muy Baja",'Mapa final'!$AA$18="Catastrófico"),CONCATENATE("R5C",'Mapa final'!$O$18),"")</f>
        <v/>
      </c>
      <c r="AI50" s="52" t="str">
        <f ca="1">IF(AND('Mapa final'!$Y$19="Muy Baja",'Mapa final'!$AA$19="Catastrófico"),CONCATENATE("R5C",'Mapa final'!$O$19),"")</f>
        <v/>
      </c>
      <c r="AJ50" s="52" t="e">
        <f>IF(AND('Mapa final'!#REF!="Muy Baja",'Mapa final'!#REF!="Catastrófico"),CONCATENATE("R5C",'Mapa final'!#REF!),"")</f>
        <v>#REF!</v>
      </c>
      <c r="AK50" s="52" t="e">
        <f>IF(AND('Mapa final'!#REF!="Muy Baja",'Mapa final'!#REF!="Catastrófico"),CONCATENATE("R5C",'Mapa final'!#REF!),"")</f>
        <v>#REF!</v>
      </c>
      <c r="AL50" s="52" t="e">
        <f>IF(AND('Mapa final'!#REF!="Muy Baja",'Mapa final'!#REF!="Catastrófico"),CONCATENATE("R5C",'Mapa final'!#REF!),"")</f>
        <v>#REF!</v>
      </c>
      <c r="AM50" s="53" t="e">
        <f>IF(AND('Mapa final'!#REF!="Muy Baja",'Mapa final'!#REF!="Catastrófico"),CONCATENATE("R5C",'Mapa final'!#REF!),"")</f>
        <v>#REF!</v>
      </c>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row>
    <row r="51" spans="1:80" ht="15" customHeight="1" x14ac:dyDescent="0.45">
      <c r="A51" s="80"/>
      <c r="B51" s="261"/>
      <c r="C51" s="261"/>
      <c r="D51" s="262"/>
      <c r="E51" s="302"/>
      <c r="F51" s="303"/>
      <c r="G51" s="303"/>
      <c r="H51" s="303"/>
      <c r="I51" s="304"/>
      <c r="J51" s="73" t="str">
        <f ca="1">IF(AND('Mapa final'!$Y$20="Muy Baja",'Mapa final'!$AA$20="Leve"),CONCATENATE("R6C",'Mapa final'!$O$20),"")</f>
        <v/>
      </c>
      <c r="K51" s="74" t="e">
        <f>IF(AND('Mapa final'!#REF!="Muy Baja",'Mapa final'!#REF!="Leve"),CONCATENATE("R6C",'Mapa final'!#REF!),"")</f>
        <v>#REF!</v>
      </c>
      <c r="L51" s="74" t="e">
        <f>IF(AND('Mapa final'!#REF!="Muy Baja",'Mapa final'!#REF!="Leve"),CONCATENATE("R6C",'Mapa final'!#REF!),"")</f>
        <v>#REF!</v>
      </c>
      <c r="M51" s="74" t="e">
        <f>IF(AND('Mapa final'!#REF!="Muy Baja",'Mapa final'!#REF!="Leve"),CONCATENATE("R6C",'Mapa final'!#REF!),"")</f>
        <v>#REF!</v>
      </c>
      <c r="N51" s="74" t="e">
        <f>IF(AND('Mapa final'!#REF!="Muy Baja",'Mapa final'!#REF!="Leve"),CONCATENATE("R6C",'Mapa final'!#REF!),"")</f>
        <v>#REF!</v>
      </c>
      <c r="O51" s="75" t="e">
        <f>IF(AND('Mapa final'!#REF!="Muy Baja",'Mapa final'!#REF!="Leve"),CONCATENATE("R6C",'Mapa final'!#REF!),"")</f>
        <v>#REF!</v>
      </c>
      <c r="P51" s="73" t="str">
        <f ca="1">IF(AND('Mapa final'!$Y$20="Muy Baja",'Mapa final'!$AA$20="Menor"),CONCATENATE("R6C",'Mapa final'!$O$20),"")</f>
        <v/>
      </c>
      <c r="Q51" s="74" t="e">
        <f>IF(AND('Mapa final'!#REF!="Muy Baja",'Mapa final'!#REF!="Menor"),CONCATENATE("R6C",'Mapa final'!#REF!),"")</f>
        <v>#REF!</v>
      </c>
      <c r="R51" s="74" t="e">
        <f>IF(AND('Mapa final'!#REF!="Muy Baja",'Mapa final'!#REF!="Menor"),CONCATENATE("R6C",'Mapa final'!#REF!),"")</f>
        <v>#REF!</v>
      </c>
      <c r="S51" s="74" t="e">
        <f>IF(AND('Mapa final'!#REF!="Muy Baja",'Mapa final'!#REF!="Menor"),CONCATENATE("R6C",'Mapa final'!#REF!),"")</f>
        <v>#REF!</v>
      </c>
      <c r="T51" s="74" t="e">
        <f>IF(AND('Mapa final'!#REF!="Muy Baja",'Mapa final'!#REF!="Menor"),CONCATENATE("R6C",'Mapa final'!#REF!),"")</f>
        <v>#REF!</v>
      </c>
      <c r="U51" s="75" t="e">
        <f>IF(AND('Mapa final'!#REF!="Muy Baja",'Mapa final'!#REF!="Menor"),CONCATENATE("R6C",'Mapa final'!#REF!),"")</f>
        <v>#REF!</v>
      </c>
      <c r="V51" s="64" t="str">
        <f ca="1">IF(AND('Mapa final'!$Y$20="Muy Baja",'Mapa final'!$AA$20="Moderado"),CONCATENATE("R6C",'Mapa final'!$O$20),"")</f>
        <v/>
      </c>
      <c r="W51" s="65" t="e">
        <f>IF(AND('Mapa final'!#REF!="Muy Baja",'Mapa final'!#REF!="Moderado"),CONCATENATE("R6C",'Mapa final'!#REF!),"")</f>
        <v>#REF!</v>
      </c>
      <c r="X51" s="65" t="e">
        <f>IF(AND('Mapa final'!#REF!="Muy Baja",'Mapa final'!#REF!="Moderado"),CONCATENATE("R6C",'Mapa final'!#REF!),"")</f>
        <v>#REF!</v>
      </c>
      <c r="Y51" s="65" t="e">
        <f>IF(AND('Mapa final'!#REF!="Muy Baja",'Mapa final'!#REF!="Moderado"),CONCATENATE("R6C",'Mapa final'!#REF!),"")</f>
        <v>#REF!</v>
      </c>
      <c r="Z51" s="65" t="e">
        <f>IF(AND('Mapa final'!#REF!="Muy Baja",'Mapa final'!#REF!="Moderado"),CONCATENATE("R6C",'Mapa final'!#REF!),"")</f>
        <v>#REF!</v>
      </c>
      <c r="AA51" s="66" t="e">
        <f>IF(AND('Mapa final'!#REF!="Muy Baja",'Mapa final'!#REF!="Moderado"),CONCATENATE("R6C",'Mapa final'!#REF!),"")</f>
        <v>#REF!</v>
      </c>
      <c r="AB51" s="48" t="str">
        <f ca="1">IF(AND('Mapa final'!$Y$20="Muy Baja",'Mapa final'!$AA$20="Mayor"),CONCATENATE("R6C",'Mapa final'!$O$20),"")</f>
        <v/>
      </c>
      <c r="AC51" s="49" t="e">
        <f>IF(AND('Mapa final'!#REF!="Muy Baja",'Mapa final'!#REF!="Mayor"),CONCATENATE("R6C",'Mapa final'!#REF!),"")</f>
        <v>#REF!</v>
      </c>
      <c r="AD51" s="54" t="e">
        <f>IF(AND('Mapa final'!#REF!="Muy Baja",'Mapa final'!#REF!="Mayor"),CONCATENATE("R6C",'Mapa final'!#REF!),"")</f>
        <v>#REF!</v>
      </c>
      <c r="AE51" s="54" t="e">
        <f>IF(AND('Mapa final'!#REF!="Muy Baja",'Mapa final'!#REF!="Mayor"),CONCATENATE("R6C",'Mapa final'!#REF!),"")</f>
        <v>#REF!</v>
      </c>
      <c r="AF51" s="54" t="e">
        <f>IF(AND('Mapa final'!#REF!="Muy Baja",'Mapa final'!#REF!="Mayor"),CONCATENATE("R6C",'Mapa final'!#REF!),"")</f>
        <v>#REF!</v>
      </c>
      <c r="AG51" s="50" t="e">
        <f>IF(AND('Mapa final'!#REF!="Muy Baja",'Mapa final'!#REF!="Mayor"),CONCATENATE("R6C",'Mapa final'!#REF!),"")</f>
        <v>#REF!</v>
      </c>
      <c r="AH51" s="51" t="str">
        <f ca="1">IF(AND('Mapa final'!$Y$20="Muy Baja",'Mapa final'!$AA$20="Catastrófico"),CONCATENATE("R6C",'Mapa final'!$O$20),"")</f>
        <v/>
      </c>
      <c r="AI51" s="52" t="e">
        <f>IF(AND('Mapa final'!#REF!="Muy Baja",'Mapa final'!#REF!="Catastrófico"),CONCATENATE("R6C",'Mapa final'!#REF!),"")</f>
        <v>#REF!</v>
      </c>
      <c r="AJ51" s="52" t="e">
        <f>IF(AND('Mapa final'!#REF!="Muy Baja",'Mapa final'!#REF!="Catastrófico"),CONCATENATE("R6C",'Mapa final'!#REF!),"")</f>
        <v>#REF!</v>
      </c>
      <c r="AK51" s="52" t="e">
        <f>IF(AND('Mapa final'!#REF!="Muy Baja",'Mapa final'!#REF!="Catastrófico"),CONCATENATE("R6C",'Mapa final'!#REF!),"")</f>
        <v>#REF!</v>
      </c>
      <c r="AL51" s="52" t="e">
        <f>IF(AND('Mapa final'!#REF!="Muy Baja",'Mapa final'!#REF!="Catastrófico"),CONCATENATE("R6C",'Mapa final'!#REF!),"")</f>
        <v>#REF!</v>
      </c>
      <c r="AM51" s="53" t="e">
        <f>IF(AND('Mapa final'!#REF!="Muy Baja",'Mapa final'!#REF!="Catastrófico"),CONCATENATE("R6C",'Mapa final'!#REF!),"")</f>
        <v>#REF!</v>
      </c>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row>
    <row r="52" spans="1:80" ht="15" customHeight="1" x14ac:dyDescent="0.45">
      <c r="A52" s="80"/>
      <c r="B52" s="261"/>
      <c r="C52" s="261"/>
      <c r="D52" s="262"/>
      <c r="E52" s="302"/>
      <c r="F52" s="303"/>
      <c r="G52" s="303"/>
      <c r="H52" s="303"/>
      <c r="I52" s="304"/>
      <c r="J52" s="73" t="str">
        <f ca="1">IF(AND('Mapa final'!$Y$21="Muy Baja",'Mapa final'!$AA$21="Leve"),CONCATENATE("R7C",'Mapa final'!$O$21),"")</f>
        <v/>
      </c>
      <c r="K52" s="74" t="str">
        <f ca="1">IF(AND('Mapa final'!$Y$22="Muy Baja",'Mapa final'!$AA$22="Leve"),CONCATENATE("R7C",'Mapa final'!$O$22),"")</f>
        <v/>
      </c>
      <c r="L52" s="74" t="str">
        <f ca="1">IF(AND('Mapa final'!$Y$23="Muy Baja",'Mapa final'!$AA$23="Leve"),CONCATENATE("R7C",'Mapa final'!$O$23),"")</f>
        <v/>
      </c>
      <c r="M52" s="74" t="e">
        <f>IF(AND('Mapa final'!#REF!="Muy Baja",'Mapa final'!#REF!="Leve"),CONCATENATE("R7C",'Mapa final'!#REF!),"")</f>
        <v>#REF!</v>
      </c>
      <c r="N52" s="74" t="e">
        <f>IF(AND('Mapa final'!#REF!="Muy Baja",'Mapa final'!#REF!="Leve"),CONCATENATE("R7C",'Mapa final'!#REF!),"")</f>
        <v>#REF!</v>
      </c>
      <c r="O52" s="75" t="e">
        <f>IF(AND('Mapa final'!#REF!="Muy Baja",'Mapa final'!#REF!="Leve"),CONCATENATE("R7C",'Mapa final'!#REF!),"")</f>
        <v>#REF!</v>
      </c>
      <c r="P52" s="73" t="str">
        <f ca="1">IF(AND('Mapa final'!$Y$21="Muy Baja",'Mapa final'!$AA$21="Menor"),CONCATENATE("R7C",'Mapa final'!$O$21),"")</f>
        <v/>
      </c>
      <c r="Q52" s="74" t="str">
        <f ca="1">IF(AND('Mapa final'!$Y$22="Muy Baja",'Mapa final'!$AA$22="Menor"),CONCATENATE("R7C",'Mapa final'!$O$22),"")</f>
        <v/>
      </c>
      <c r="R52" s="74" t="str">
        <f ca="1">IF(AND('Mapa final'!$Y$23="Muy Baja",'Mapa final'!$AA$23="Menor"),CONCATENATE("R7C",'Mapa final'!$O$23),"")</f>
        <v/>
      </c>
      <c r="S52" s="74" t="e">
        <f>IF(AND('Mapa final'!#REF!="Muy Baja",'Mapa final'!#REF!="Menor"),CONCATENATE("R7C",'Mapa final'!#REF!),"")</f>
        <v>#REF!</v>
      </c>
      <c r="T52" s="74" t="e">
        <f>IF(AND('Mapa final'!#REF!="Muy Baja",'Mapa final'!#REF!="Menor"),CONCATENATE("R7C",'Mapa final'!#REF!),"")</f>
        <v>#REF!</v>
      </c>
      <c r="U52" s="75" t="e">
        <f>IF(AND('Mapa final'!#REF!="Muy Baja",'Mapa final'!#REF!="Menor"),CONCATENATE("R7C",'Mapa final'!#REF!),"")</f>
        <v>#REF!</v>
      </c>
      <c r="V52" s="64" t="str">
        <f ca="1">IF(AND('Mapa final'!$Y$21="Muy Baja",'Mapa final'!$AA$21="Moderado"),CONCATENATE("R7C",'Mapa final'!$O$21),"")</f>
        <v/>
      </c>
      <c r="W52" s="65" t="str">
        <f ca="1">IF(AND('Mapa final'!$Y$22="Muy Baja",'Mapa final'!$AA$22="Moderado"),CONCATENATE("R7C",'Mapa final'!$O$22),"")</f>
        <v/>
      </c>
      <c r="X52" s="65" t="str">
        <f ca="1">IF(AND('Mapa final'!$Y$23="Muy Baja",'Mapa final'!$AA$23="Moderado"),CONCATENATE("R7C",'Mapa final'!$O$23),"")</f>
        <v>R7C3</v>
      </c>
      <c r="Y52" s="65" t="e">
        <f>IF(AND('Mapa final'!#REF!="Muy Baja",'Mapa final'!#REF!="Moderado"),CONCATENATE("R7C",'Mapa final'!#REF!),"")</f>
        <v>#REF!</v>
      </c>
      <c r="Z52" s="65" t="e">
        <f>IF(AND('Mapa final'!#REF!="Muy Baja",'Mapa final'!#REF!="Moderado"),CONCATENATE("R7C",'Mapa final'!#REF!),"")</f>
        <v>#REF!</v>
      </c>
      <c r="AA52" s="66" t="e">
        <f>IF(AND('Mapa final'!#REF!="Muy Baja",'Mapa final'!#REF!="Moderado"),CONCATENATE("R7C",'Mapa final'!#REF!),"")</f>
        <v>#REF!</v>
      </c>
      <c r="AB52" s="48" t="str">
        <f ca="1">IF(AND('Mapa final'!$Y$21="Muy Baja",'Mapa final'!$AA$21="Mayor"),CONCATENATE("R7C",'Mapa final'!$O$21),"")</f>
        <v/>
      </c>
      <c r="AC52" s="49" t="str">
        <f ca="1">IF(AND('Mapa final'!$Y$22="Muy Baja",'Mapa final'!$AA$22="Mayor"),CONCATENATE("R7C",'Mapa final'!$O$22),"")</f>
        <v/>
      </c>
      <c r="AD52" s="54" t="str">
        <f ca="1">IF(AND('Mapa final'!$Y$23="Muy Baja",'Mapa final'!$AA$23="Mayor"),CONCATENATE("R7C",'Mapa final'!$O$23),"")</f>
        <v/>
      </c>
      <c r="AE52" s="54" t="e">
        <f>IF(AND('Mapa final'!#REF!="Muy Baja",'Mapa final'!#REF!="Mayor"),CONCATENATE("R7C",'Mapa final'!#REF!),"")</f>
        <v>#REF!</v>
      </c>
      <c r="AF52" s="54" t="e">
        <f>IF(AND('Mapa final'!#REF!="Muy Baja",'Mapa final'!#REF!="Mayor"),CONCATENATE("R7C",'Mapa final'!#REF!),"")</f>
        <v>#REF!</v>
      </c>
      <c r="AG52" s="50" t="e">
        <f>IF(AND('Mapa final'!#REF!="Muy Baja",'Mapa final'!#REF!="Mayor"),CONCATENATE("R7C",'Mapa final'!#REF!),"")</f>
        <v>#REF!</v>
      </c>
      <c r="AH52" s="51" t="str">
        <f ca="1">IF(AND('Mapa final'!$Y$21="Muy Baja",'Mapa final'!$AA$21="Catastrófico"),CONCATENATE("R7C",'Mapa final'!$O$21),"")</f>
        <v/>
      </c>
      <c r="AI52" s="52" t="str">
        <f ca="1">IF(AND('Mapa final'!$Y$22="Muy Baja",'Mapa final'!$AA$22="Catastrófico"),CONCATENATE("R7C",'Mapa final'!$O$22),"")</f>
        <v/>
      </c>
      <c r="AJ52" s="52" t="str">
        <f ca="1">IF(AND('Mapa final'!$Y$23="Muy Baja",'Mapa final'!$AA$23="Catastrófico"),CONCATENATE("R7C",'Mapa final'!$O$23),"")</f>
        <v/>
      </c>
      <c r="AK52" s="52" t="e">
        <f>IF(AND('Mapa final'!#REF!="Muy Baja",'Mapa final'!#REF!="Catastrófico"),CONCATENATE("R7C",'Mapa final'!#REF!),"")</f>
        <v>#REF!</v>
      </c>
      <c r="AL52" s="52" t="e">
        <f>IF(AND('Mapa final'!#REF!="Muy Baja",'Mapa final'!#REF!="Catastrófico"),CONCATENATE("R7C",'Mapa final'!#REF!),"")</f>
        <v>#REF!</v>
      </c>
      <c r="AM52" s="53" t="e">
        <f>IF(AND('Mapa final'!#REF!="Muy Baja",'Mapa final'!#REF!="Catastrófico"),CONCATENATE("R7C",'Mapa final'!#REF!),"")</f>
        <v>#REF!</v>
      </c>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row>
    <row r="53" spans="1:80" ht="15" customHeight="1" x14ac:dyDescent="0.45">
      <c r="A53" s="80"/>
      <c r="B53" s="261"/>
      <c r="C53" s="261"/>
      <c r="D53" s="262"/>
      <c r="E53" s="302"/>
      <c r="F53" s="303"/>
      <c r="G53" s="303"/>
      <c r="H53" s="303"/>
      <c r="I53" s="304"/>
      <c r="J53" s="73" t="str">
        <f ca="1">IF(AND('Mapa final'!$Y$24="Muy Baja",'Mapa final'!$AA$24="Leve"),CONCATENATE("R8C",'Mapa final'!$O$24),"")</f>
        <v/>
      </c>
      <c r="K53" s="74" t="e">
        <f>IF(AND('Mapa final'!#REF!="Muy Baja",'Mapa final'!#REF!="Leve"),CONCATENATE("R8C",'Mapa final'!#REF!),"")</f>
        <v>#REF!</v>
      </c>
      <c r="L53" s="74" t="e">
        <f>IF(AND('Mapa final'!#REF!="Muy Baja",'Mapa final'!#REF!="Leve"),CONCATENATE("R8C",'Mapa final'!#REF!),"")</f>
        <v>#REF!</v>
      </c>
      <c r="M53" s="74" t="e">
        <f>IF(AND('Mapa final'!#REF!="Muy Baja",'Mapa final'!#REF!="Leve"),CONCATENATE("R8C",'Mapa final'!#REF!),"")</f>
        <v>#REF!</v>
      </c>
      <c r="N53" s="74" t="e">
        <f>IF(AND('Mapa final'!#REF!="Muy Baja",'Mapa final'!#REF!="Leve"),CONCATENATE("R8C",'Mapa final'!#REF!),"")</f>
        <v>#REF!</v>
      </c>
      <c r="O53" s="75" t="e">
        <f>IF(AND('Mapa final'!#REF!="Muy Baja",'Mapa final'!#REF!="Leve"),CONCATENATE("R8C",'Mapa final'!#REF!),"")</f>
        <v>#REF!</v>
      </c>
      <c r="P53" s="73" t="str">
        <f ca="1">IF(AND('Mapa final'!$Y$24="Muy Baja",'Mapa final'!$AA$24="Menor"),CONCATENATE("R8C",'Mapa final'!$O$24),"")</f>
        <v>R8C1</v>
      </c>
      <c r="Q53" s="74" t="e">
        <f>IF(AND('Mapa final'!#REF!="Muy Baja",'Mapa final'!#REF!="Menor"),CONCATENATE("R8C",'Mapa final'!#REF!),"")</f>
        <v>#REF!</v>
      </c>
      <c r="R53" s="74" t="e">
        <f>IF(AND('Mapa final'!#REF!="Muy Baja",'Mapa final'!#REF!="Menor"),CONCATENATE("R8C",'Mapa final'!#REF!),"")</f>
        <v>#REF!</v>
      </c>
      <c r="S53" s="74" t="e">
        <f>IF(AND('Mapa final'!#REF!="Muy Baja",'Mapa final'!#REF!="Menor"),CONCATENATE("R8C",'Mapa final'!#REF!),"")</f>
        <v>#REF!</v>
      </c>
      <c r="T53" s="74" t="e">
        <f>IF(AND('Mapa final'!#REF!="Muy Baja",'Mapa final'!#REF!="Menor"),CONCATENATE("R8C",'Mapa final'!#REF!),"")</f>
        <v>#REF!</v>
      </c>
      <c r="U53" s="75" t="e">
        <f>IF(AND('Mapa final'!#REF!="Muy Baja",'Mapa final'!#REF!="Menor"),CONCATENATE("R8C",'Mapa final'!#REF!),"")</f>
        <v>#REF!</v>
      </c>
      <c r="V53" s="64" t="str">
        <f ca="1">IF(AND('Mapa final'!$Y$24="Muy Baja",'Mapa final'!$AA$24="Moderado"),CONCATENATE("R8C",'Mapa final'!$O$24),"")</f>
        <v/>
      </c>
      <c r="W53" s="65" t="e">
        <f>IF(AND('Mapa final'!#REF!="Muy Baja",'Mapa final'!#REF!="Moderado"),CONCATENATE("R8C",'Mapa final'!#REF!),"")</f>
        <v>#REF!</v>
      </c>
      <c r="X53" s="65" t="e">
        <f>IF(AND('Mapa final'!#REF!="Muy Baja",'Mapa final'!#REF!="Moderado"),CONCATENATE("R8C",'Mapa final'!#REF!),"")</f>
        <v>#REF!</v>
      </c>
      <c r="Y53" s="65" t="e">
        <f>IF(AND('Mapa final'!#REF!="Muy Baja",'Mapa final'!#REF!="Moderado"),CONCATENATE("R8C",'Mapa final'!#REF!),"")</f>
        <v>#REF!</v>
      </c>
      <c r="Z53" s="65" t="e">
        <f>IF(AND('Mapa final'!#REF!="Muy Baja",'Mapa final'!#REF!="Moderado"),CONCATENATE("R8C",'Mapa final'!#REF!),"")</f>
        <v>#REF!</v>
      </c>
      <c r="AA53" s="66" t="e">
        <f>IF(AND('Mapa final'!#REF!="Muy Baja",'Mapa final'!#REF!="Moderado"),CONCATENATE("R8C",'Mapa final'!#REF!),"")</f>
        <v>#REF!</v>
      </c>
      <c r="AB53" s="48" t="str">
        <f ca="1">IF(AND('Mapa final'!$Y$24="Muy Baja",'Mapa final'!$AA$24="Mayor"),CONCATENATE("R8C",'Mapa final'!$O$24),"")</f>
        <v/>
      </c>
      <c r="AC53" s="49" t="e">
        <f>IF(AND('Mapa final'!#REF!="Muy Baja",'Mapa final'!#REF!="Mayor"),CONCATENATE("R8C",'Mapa final'!#REF!),"")</f>
        <v>#REF!</v>
      </c>
      <c r="AD53" s="54" t="e">
        <f>IF(AND('Mapa final'!#REF!="Muy Baja",'Mapa final'!#REF!="Mayor"),CONCATENATE("R8C",'Mapa final'!#REF!),"")</f>
        <v>#REF!</v>
      </c>
      <c r="AE53" s="54" t="e">
        <f>IF(AND('Mapa final'!#REF!="Muy Baja",'Mapa final'!#REF!="Mayor"),CONCATENATE("R8C",'Mapa final'!#REF!),"")</f>
        <v>#REF!</v>
      </c>
      <c r="AF53" s="54" t="e">
        <f>IF(AND('Mapa final'!#REF!="Muy Baja",'Mapa final'!#REF!="Mayor"),CONCATENATE("R8C",'Mapa final'!#REF!),"")</f>
        <v>#REF!</v>
      </c>
      <c r="AG53" s="50" t="e">
        <f>IF(AND('Mapa final'!#REF!="Muy Baja",'Mapa final'!#REF!="Mayor"),CONCATENATE("R8C",'Mapa final'!#REF!),"")</f>
        <v>#REF!</v>
      </c>
      <c r="AH53" s="51" t="str">
        <f ca="1">IF(AND('Mapa final'!$Y$24="Muy Baja",'Mapa final'!$AA$24="Catastrófico"),CONCATENATE("R8C",'Mapa final'!$O$24),"")</f>
        <v/>
      </c>
      <c r="AI53" s="52" t="e">
        <f>IF(AND('Mapa final'!#REF!="Muy Baja",'Mapa final'!#REF!="Catastrófico"),CONCATENATE("R8C",'Mapa final'!#REF!),"")</f>
        <v>#REF!</v>
      </c>
      <c r="AJ53" s="52" t="e">
        <f>IF(AND('Mapa final'!#REF!="Muy Baja",'Mapa final'!#REF!="Catastrófico"),CONCATENATE("R8C",'Mapa final'!#REF!),"")</f>
        <v>#REF!</v>
      </c>
      <c r="AK53" s="52" t="e">
        <f>IF(AND('Mapa final'!#REF!="Muy Baja",'Mapa final'!#REF!="Catastrófico"),CONCATENATE("R8C",'Mapa final'!#REF!),"")</f>
        <v>#REF!</v>
      </c>
      <c r="AL53" s="52" t="e">
        <f>IF(AND('Mapa final'!#REF!="Muy Baja",'Mapa final'!#REF!="Catastrófico"),CONCATENATE("R8C",'Mapa final'!#REF!),"")</f>
        <v>#REF!</v>
      </c>
      <c r="AM53" s="53" t="e">
        <f>IF(AND('Mapa final'!#REF!="Muy Baja",'Mapa final'!#REF!="Catastrófico"),CONCATENATE("R8C",'Mapa final'!#REF!),"")</f>
        <v>#REF!</v>
      </c>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row>
    <row r="54" spans="1:80" ht="15" customHeight="1" x14ac:dyDescent="0.45">
      <c r="A54" s="80"/>
      <c r="B54" s="261"/>
      <c r="C54" s="261"/>
      <c r="D54" s="262"/>
      <c r="E54" s="302"/>
      <c r="F54" s="303"/>
      <c r="G54" s="303"/>
      <c r="H54" s="303"/>
      <c r="I54" s="304"/>
      <c r="J54" s="73" t="e">
        <f>IF(AND('Mapa final'!#REF!="Muy Baja",'Mapa final'!#REF!="Leve"),CONCATENATE("R9C",'Mapa final'!#REF!),"")</f>
        <v>#REF!</v>
      </c>
      <c r="K54" s="74" t="e">
        <f>IF(AND('Mapa final'!#REF!="Muy Baja",'Mapa final'!#REF!="Leve"),CONCATENATE("R9C",'Mapa final'!#REF!),"")</f>
        <v>#REF!</v>
      </c>
      <c r="L54" s="74" t="e">
        <f>IF(AND('Mapa final'!#REF!="Muy Baja",'Mapa final'!#REF!="Leve"),CONCATENATE("R9C",'Mapa final'!#REF!),"")</f>
        <v>#REF!</v>
      </c>
      <c r="M54" s="74" t="e">
        <f>IF(AND('Mapa final'!#REF!="Muy Baja",'Mapa final'!#REF!="Leve"),CONCATENATE("R9C",'Mapa final'!#REF!),"")</f>
        <v>#REF!</v>
      </c>
      <c r="N54" s="74" t="e">
        <f>IF(AND('Mapa final'!#REF!="Muy Baja",'Mapa final'!#REF!="Leve"),CONCATENATE("R9C",'Mapa final'!#REF!),"")</f>
        <v>#REF!</v>
      </c>
      <c r="O54" s="75" t="e">
        <f>IF(AND('Mapa final'!#REF!="Muy Baja",'Mapa final'!#REF!="Leve"),CONCATENATE("R9C",'Mapa final'!#REF!),"")</f>
        <v>#REF!</v>
      </c>
      <c r="P54" s="73" t="e">
        <f>IF(AND('Mapa final'!#REF!="Muy Baja",'Mapa final'!#REF!="Menor"),CONCATENATE("R9C",'Mapa final'!#REF!),"")</f>
        <v>#REF!</v>
      </c>
      <c r="Q54" s="74" t="e">
        <f>IF(AND('Mapa final'!#REF!="Muy Baja",'Mapa final'!#REF!="Menor"),CONCATENATE("R9C",'Mapa final'!#REF!),"")</f>
        <v>#REF!</v>
      </c>
      <c r="R54" s="74" t="e">
        <f>IF(AND('Mapa final'!#REF!="Muy Baja",'Mapa final'!#REF!="Menor"),CONCATENATE("R9C",'Mapa final'!#REF!),"")</f>
        <v>#REF!</v>
      </c>
      <c r="S54" s="74" t="e">
        <f>IF(AND('Mapa final'!#REF!="Muy Baja",'Mapa final'!#REF!="Menor"),CONCATENATE("R9C",'Mapa final'!#REF!),"")</f>
        <v>#REF!</v>
      </c>
      <c r="T54" s="74" t="e">
        <f>IF(AND('Mapa final'!#REF!="Muy Baja",'Mapa final'!#REF!="Menor"),CONCATENATE("R9C",'Mapa final'!#REF!),"")</f>
        <v>#REF!</v>
      </c>
      <c r="U54" s="75" t="e">
        <f>IF(AND('Mapa final'!#REF!="Muy Baja",'Mapa final'!#REF!="Menor"),CONCATENATE("R9C",'Mapa final'!#REF!),"")</f>
        <v>#REF!</v>
      </c>
      <c r="V54" s="64" t="e">
        <f>IF(AND('Mapa final'!#REF!="Muy Baja",'Mapa final'!#REF!="Moderado"),CONCATENATE("R9C",'Mapa final'!#REF!),"")</f>
        <v>#REF!</v>
      </c>
      <c r="W54" s="65" t="e">
        <f>IF(AND('Mapa final'!#REF!="Muy Baja",'Mapa final'!#REF!="Moderado"),CONCATENATE("R9C",'Mapa final'!#REF!),"")</f>
        <v>#REF!</v>
      </c>
      <c r="X54" s="65" t="e">
        <f>IF(AND('Mapa final'!#REF!="Muy Baja",'Mapa final'!#REF!="Moderado"),CONCATENATE("R9C",'Mapa final'!#REF!),"")</f>
        <v>#REF!</v>
      </c>
      <c r="Y54" s="65" t="e">
        <f>IF(AND('Mapa final'!#REF!="Muy Baja",'Mapa final'!#REF!="Moderado"),CONCATENATE("R9C",'Mapa final'!#REF!),"")</f>
        <v>#REF!</v>
      </c>
      <c r="Z54" s="65" t="e">
        <f>IF(AND('Mapa final'!#REF!="Muy Baja",'Mapa final'!#REF!="Moderado"),CONCATENATE("R9C",'Mapa final'!#REF!),"")</f>
        <v>#REF!</v>
      </c>
      <c r="AA54" s="66" t="e">
        <f>IF(AND('Mapa final'!#REF!="Muy Baja",'Mapa final'!#REF!="Moderado"),CONCATENATE("R9C",'Mapa final'!#REF!),"")</f>
        <v>#REF!</v>
      </c>
      <c r="AB54" s="48" t="e">
        <f>IF(AND('Mapa final'!#REF!="Muy Baja",'Mapa final'!#REF!="Mayor"),CONCATENATE("R9C",'Mapa final'!#REF!),"")</f>
        <v>#REF!</v>
      </c>
      <c r="AC54" s="49" t="e">
        <f>IF(AND('Mapa final'!#REF!="Muy Baja",'Mapa final'!#REF!="Mayor"),CONCATENATE("R9C",'Mapa final'!#REF!),"")</f>
        <v>#REF!</v>
      </c>
      <c r="AD54" s="54" t="e">
        <f>IF(AND('Mapa final'!#REF!="Muy Baja",'Mapa final'!#REF!="Mayor"),CONCATENATE("R9C",'Mapa final'!#REF!),"")</f>
        <v>#REF!</v>
      </c>
      <c r="AE54" s="54" t="e">
        <f>IF(AND('Mapa final'!#REF!="Muy Baja",'Mapa final'!#REF!="Mayor"),CONCATENATE("R9C",'Mapa final'!#REF!),"")</f>
        <v>#REF!</v>
      </c>
      <c r="AF54" s="54" t="e">
        <f>IF(AND('Mapa final'!#REF!="Muy Baja",'Mapa final'!#REF!="Mayor"),CONCATENATE("R9C",'Mapa final'!#REF!),"")</f>
        <v>#REF!</v>
      </c>
      <c r="AG54" s="50" t="e">
        <f>IF(AND('Mapa final'!#REF!="Muy Baja",'Mapa final'!#REF!="Mayor"),CONCATENATE("R9C",'Mapa final'!#REF!),"")</f>
        <v>#REF!</v>
      </c>
      <c r="AH54" s="51" t="e">
        <f>IF(AND('Mapa final'!#REF!="Muy Baja",'Mapa final'!#REF!="Catastrófico"),CONCATENATE("R9C",'Mapa final'!#REF!),"")</f>
        <v>#REF!</v>
      </c>
      <c r="AI54" s="52" t="e">
        <f>IF(AND('Mapa final'!#REF!="Muy Baja",'Mapa final'!#REF!="Catastrófico"),CONCATENATE("R9C",'Mapa final'!#REF!),"")</f>
        <v>#REF!</v>
      </c>
      <c r="AJ54" s="52" t="e">
        <f>IF(AND('Mapa final'!#REF!="Muy Baja",'Mapa final'!#REF!="Catastrófico"),CONCATENATE("R9C",'Mapa final'!#REF!),"")</f>
        <v>#REF!</v>
      </c>
      <c r="AK54" s="52" t="e">
        <f>IF(AND('Mapa final'!#REF!="Muy Baja",'Mapa final'!#REF!="Catastrófico"),CONCATENATE("R9C",'Mapa final'!#REF!),"")</f>
        <v>#REF!</v>
      </c>
      <c r="AL54" s="52" t="e">
        <f>IF(AND('Mapa final'!#REF!="Muy Baja",'Mapa final'!#REF!="Catastrófico"),CONCATENATE("R9C",'Mapa final'!#REF!),"")</f>
        <v>#REF!</v>
      </c>
      <c r="AM54" s="53" t="e">
        <f>IF(AND('Mapa final'!#REF!="Muy Baja",'Mapa final'!#REF!="Catastrófico"),CONCATENATE("R9C",'Mapa final'!#REF!),"")</f>
        <v>#REF!</v>
      </c>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row>
    <row r="55" spans="1:80" ht="15.75" customHeight="1" thickBot="1" x14ac:dyDescent="0.5">
      <c r="A55" s="80"/>
      <c r="B55" s="261"/>
      <c r="C55" s="261"/>
      <c r="D55" s="262"/>
      <c r="E55" s="305"/>
      <c r="F55" s="306"/>
      <c r="G55" s="306"/>
      <c r="H55" s="306"/>
      <c r="I55" s="307"/>
      <c r="J55" s="76" t="e">
        <f>IF(AND('Mapa final'!#REF!="Muy Baja",'Mapa final'!#REF!="Leve"),CONCATENATE("R10C",'Mapa final'!#REF!),"")</f>
        <v>#REF!</v>
      </c>
      <c r="K55" s="77" t="e">
        <f>IF(AND('Mapa final'!#REF!="Muy Baja",'Mapa final'!#REF!="Leve"),CONCATENATE("R10C",'Mapa final'!#REF!),"")</f>
        <v>#REF!</v>
      </c>
      <c r="L55" s="77" t="e">
        <f>IF(AND('Mapa final'!#REF!="Muy Baja",'Mapa final'!#REF!="Leve"),CONCATENATE("R10C",'Mapa final'!#REF!),"")</f>
        <v>#REF!</v>
      </c>
      <c r="M55" s="77" t="e">
        <f>IF(AND('Mapa final'!#REF!="Muy Baja",'Mapa final'!#REF!="Leve"),CONCATENATE("R10C",'Mapa final'!#REF!),"")</f>
        <v>#REF!</v>
      </c>
      <c r="N55" s="77" t="e">
        <f>IF(AND('Mapa final'!#REF!="Muy Baja",'Mapa final'!#REF!="Leve"),CONCATENATE("R10C",'Mapa final'!#REF!),"")</f>
        <v>#REF!</v>
      </c>
      <c r="O55" s="78" t="e">
        <f>IF(AND('Mapa final'!#REF!="Muy Baja",'Mapa final'!#REF!="Leve"),CONCATENATE("R10C",'Mapa final'!#REF!),"")</f>
        <v>#REF!</v>
      </c>
      <c r="P55" s="76" t="e">
        <f>IF(AND('Mapa final'!#REF!="Muy Baja",'Mapa final'!#REF!="Menor"),CONCATENATE("R10C",'Mapa final'!#REF!),"")</f>
        <v>#REF!</v>
      </c>
      <c r="Q55" s="77" t="e">
        <f>IF(AND('Mapa final'!#REF!="Muy Baja",'Mapa final'!#REF!="Menor"),CONCATENATE("R10C",'Mapa final'!#REF!),"")</f>
        <v>#REF!</v>
      </c>
      <c r="R55" s="77" t="e">
        <f>IF(AND('Mapa final'!#REF!="Muy Baja",'Mapa final'!#REF!="Menor"),CONCATENATE("R10C",'Mapa final'!#REF!),"")</f>
        <v>#REF!</v>
      </c>
      <c r="S55" s="77" t="e">
        <f>IF(AND('Mapa final'!#REF!="Muy Baja",'Mapa final'!#REF!="Menor"),CONCATENATE("R10C",'Mapa final'!#REF!),"")</f>
        <v>#REF!</v>
      </c>
      <c r="T55" s="77" t="e">
        <f>IF(AND('Mapa final'!#REF!="Muy Baja",'Mapa final'!#REF!="Menor"),CONCATENATE("R10C",'Mapa final'!#REF!),"")</f>
        <v>#REF!</v>
      </c>
      <c r="U55" s="78" t="e">
        <f>IF(AND('Mapa final'!#REF!="Muy Baja",'Mapa final'!#REF!="Menor"),CONCATENATE("R10C",'Mapa final'!#REF!),"")</f>
        <v>#REF!</v>
      </c>
      <c r="V55" s="67" t="e">
        <f>IF(AND('Mapa final'!#REF!="Muy Baja",'Mapa final'!#REF!="Moderado"),CONCATENATE("R10C",'Mapa final'!#REF!),"")</f>
        <v>#REF!</v>
      </c>
      <c r="W55" s="68" t="e">
        <f>IF(AND('Mapa final'!#REF!="Muy Baja",'Mapa final'!#REF!="Moderado"),CONCATENATE("R10C",'Mapa final'!#REF!),"")</f>
        <v>#REF!</v>
      </c>
      <c r="X55" s="68" t="e">
        <f>IF(AND('Mapa final'!#REF!="Muy Baja",'Mapa final'!#REF!="Moderado"),CONCATENATE("R10C",'Mapa final'!#REF!),"")</f>
        <v>#REF!</v>
      </c>
      <c r="Y55" s="68" t="e">
        <f>IF(AND('Mapa final'!#REF!="Muy Baja",'Mapa final'!#REF!="Moderado"),CONCATENATE("R10C",'Mapa final'!#REF!),"")</f>
        <v>#REF!</v>
      </c>
      <c r="Z55" s="68" t="e">
        <f>IF(AND('Mapa final'!#REF!="Muy Baja",'Mapa final'!#REF!="Moderado"),CONCATENATE("R10C",'Mapa final'!#REF!),"")</f>
        <v>#REF!</v>
      </c>
      <c r="AA55" s="69" t="e">
        <f>IF(AND('Mapa final'!#REF!="Muy Baja",'Mapa final'!#REF!="Moderado"),CONCATENATE("R10C",'Mapa final'!#REF!),"")</f>
        <v>#REF!</v>
      </c>
      <c r="AB55" s="55" t="e">
        <f>IF(AND('Mapa final'!#REF!="Muy Baja",'Mapa final'!#REF!="Mayor"),CONCATENATE("R10C",'Mapa final'!#REF!),"")</f>
        <v>#REF!</v>
      </c>
      <c r="AC55" s="56" t="e">
        <f>IF(AND('Mapa final'!#REF!="Muy Baja",'Mapa final'!#REF!="Mayor"),CONCATENATE("R10C",'Mapa final'!#REF!),"")</f>
        <v>#REF!</v>
      </c>
      <c r="AD55" s="56" t="e">
        <f>IF(AND('Mapa final'!#REF!="Muy Baja",'Mapa final'!#REF!="Mayor"),CONCATENATE("R10C",'Mapa final'!#REF!),"")</f>
        <v>#REF!</v>
      </c>
      <c r="AE55" s="56" t="e">
        <f>IF(AND('Mapa final'!#REF!="Muy Baja",'Mapa final'!#REF!="Mayor"),CONCATENATE("R10C",'Mapa final'!#REF!),"")</f>
        <v>#REF!</v>
      </c>
      <c r="AF55" s="56" t="e">
        <f>IF(AND('Mapa final'!#REF!="Muy Baja",'Mapa final'!#REF!="Mayor"),CONCATENATE("R10C",'Mapa final'!#REF!),"")</f>
        <v>#REF!</v>
      </c>
      <c r="AG55" s="57" t="e">
        <f>IF(AND('Mapa final'!#REF!="Muy Baja",'Mapa final'!#REF!="Mayor"),CONCATENATE("R10C",'Mapa final'!#REF!),"")</f>
        <v>#REF!</v>
      </c>
      <c r="AH55" s="58" t="e">
        <f>IF(AND('Mapa final'!#REF!="Muy Baja",'Mapa final'!#REF!="Catastrófico"),CONCATENATE("R10C",'Mapa final'!#REF!),"")</f>
        <v>#REF!</v>
      </c>
      <c r="AI55" s="59" t="e">
        <f>IF(AND('Mapa final'!#REF!="Muy Baja",'Mapa final'!#REF!="Catastrófico"),CONCATENATE("R10C",'Mapa final'!#REF!),"")</f>
        <v>#REF!</v>
      </c>
      <c r="AJ55" s="59" t="e">
        <f>IF(AND('Mapa final'!#REF!="Muy Baja",'Mapa final'!#REF!="Catastrófico"),CONCATENATE("R10C",'Mapa final'!#REF!),"")</f>
        <v>#REF!</v>
      </c>
      <c r="AK55" s="59" t="e">
        <f>IF(AND('Mapa final'!#REF!="Muy Baja",'Mapa final'!#REF!="Catastrófico"),CONCATENATE("R10C",'Mapa final'!#REF!),"")</f>
        <v>#REF!</v>
      </c>
      <c r="AL55" s="59" t="e">
        <f>IF(AND('Mapa final'!#REF!="Muy Baja",'Mapa final'!#REF!="Catastrófico"),CONCATENATE("R10C",'Mapa final'!#REF!),"")</f>
        <v>#REF!</v>
      </c>
      <c r="AM55" s="60" t="e">
        <f>IF(AND('Mapa final'!#REF!="Muy Baja",'Mapa final'!#REF!="Catastrófico"),CONCATENATE("R10C",'Mapa final'!#REF!),"")</f>
        <v>#REF!</v>
      </c>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row>
    <row r="56" spans="1:80" x14ac:dyDescent="0.4">
      <c r="A56" s="80"/>
      <c r="B56" s="80"/>
      <c r="C56" s="80"/>
      <c r="D56" s="80"/>
      <c r="E56" s="80"/>
      <c r="F56" s="80"/>
      <c r="G56" s="80"/>
      <c r="H56" s="80"/>
      <c r="I56" s="80"/>
      <c r="J56" s="299" t="s">
        <v>111</v>
      </c>
      <c r="K56" s="300"/>
      <c r="L56" s="300"/>
      <c r="M56" s="300"/>
      <c r="N56" s="300"/>
      <c r="O56" s="301"/>
      <c r="P56" s="299" t="s">
        <v>110</v>
      </c>
      <c r="Q56" s="300"/>
      <c r="R56" s="300"/>
      <c r="S56" s="300"/>
      <c r="T56" s="300"/>
      <c r="U56" s="301"/>
      <c r="V56" s="299" t="s">
        <v>109</v>
      </c>
      <c r="W56" s="300"/>
      <c r="X56" s="300"/>
      <c r="Y56" s="300"/>
      <c r="Z56" s="300"/>
      <c r="AA56" s="301"/>
      <c r="AB56" s="299" t="s">
        <v>108</v>
      </c>
      <c r="AC56" s="308"/>
      <c r="AD56" s="300"/>
      <c r="AE56" s="300"/>
      <c r="AF56" s="300"/>
      <c r="AG56" s="301"/>
      <c r="AH56" s="299" t="s">
        <v>107</v>
      </c>
      <c r="AI56" s="300"/>
      <c r="AJ56" s="300"/>
      <c r="AK56" s="300"/>
      <c r="AL56" s="300"/>
      <c r="AM56" s="301"/>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row>
    <row r="57" spans="1:80" x14ac:dyDescent="0.4">
      <c r="A57" s="80"/>
      <c r="B57" s="80"/>
      <c r="C57" s="80"/>
      <c r="D57" s="80"/>
      <c r="E57" s="80"/>
      <c r="F57" s="80"/>
      <c r="G57" s="80"/>
      <c r="H57" s="80"/>
      <c r="I57" s="80"/>
      <c r="J57" s="302"/>
      <c r="K57" s="303"/>
      <c r="L57" s="303"/>
      <c r="M57" s="303"/>
      <c r="N57" s="303"/>
      <c r="O57" s="304"/>
      <c r="P57" s="302"/>
      <c r="Q57" s="303"/>
      <c r="R57" s="303"/>
      <c r="S57" s="303"/>
      <c r="T57" s="303"/>
      <c r="U57" s="304"/>
      <c r="V57" s="302"/>
      <c r="W57" s="303"/>
      <c r="X57" s="303"/>
      <c r="Y57" s="303"/>
      <c r="Z57" s="303"/>
      <c r="AA57" s="304"/>
      <c r="AB57" s="302"/>
      <c r="AC57" s="303"/>
      <c r="AD57" s="303"/>
      <c r="AE57" s="303"/>
      <c r="AF57" s="303"/>
      <c r="AG57" s="304"/>
      <c r="AH57" s="302"/>
      <c r="AI57" s="303"/>
      <c r="AJ57" s="303"/>
      <c r="AK57" s="303"/>
      <c r="AL57" s="303"/>
      <c r="AM57" s="304"/>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row>
    <row r="58" spans="1:80" x14ac:dyDescent="0.4">
      <c r="A58" s="80"/>
      <c r="B58" s="80"/>
      <c r="C58" s="80"/>
      <c r="D58" s="80"/>
      <c r="E58" s="80"/>
      <c r="F58" s="80"/>
      <c r="G58" s="80"/>
      <c r="H58" s="80"/>
      <c r="I58" s="80"/>
      <c r="J58" s="302"/>
      <c r="K58" s="303"/>
      <c r="L58" s="303"/>
      <c r="M58" s="303"/>
      <c r="N58" s="303"/>
      <c r="O58" s="304"/>
      <c r="P58" s="302"/>
      <c r="Q58" s="303"/>
      <c r="R58" s="303"/>
      <c r="S58" s="303"/>
      <c r="T58" s="303"/>
      <c r="U58" s="304"/>
      <c r="V58" s="302"/>
      <c r="W58" s="303"/>
      <c r="X58" s="303"/>
      <c r="Y58" s="303"/>
      <c r="Z58" s="303"/>
      <c r="AA58" s="304"/>
      <c r="AB58" s="302"/>
      <c r="AC58" s="303"/>
      <c r="AD58" s="303"/>
      <c r="AE58" s="303"/>
      <c r="AF58" s="303"/>
      <c r="AG58" s="304"/>
      <c r="AH58" s="302"/>
      <c r="AI58" s="303"/>
      <c r="AJ58" s="303"/>
      <c r="AK58" s="303"/>
      <c r="AL58" s="303"/>
      <c r="AM58" s="304"/>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row>
    <row r="59" spans="1:80" x14ac:dyDescent="0.4">
      <c r="A59" s="80"/>
      <c r="B59" s="80"/>
      <c r="C59" s="80"/>
      <c r="D59" s="80"/>
      <c r="E59" s="80"/>
      <c r="F59" s="80"/>
      <c r="G59" s="80"/>
      <c r="H59" s="80"/>
      <c r="I59" s="80"/>
      <c r="J59" s="302"/>
      <c r="K59" s="303"/>
      <c r="L59" s="303"/>
      <c r="M59" s="303"/>
      <c r="N59" s="303"/>
      <c r="O59" s="304"/>
      <c r="P59" s="302"/>
      <c r="Q59" s="303"/>
      <c r="R59" s="303"/>
      <c r="S59" s="303"/>
      <c r="T59" s="303"/>
      <c r="U59" s="304"/>
      <c r="V59" s="302"/>
      <c r="W59" s="303"/>
      <c r="X59" s="303"/>
      <c r="Y59" s="303"/>
      <c r="Z59" s="303"/>
      <c r="AA59" s="304"/>
      <c r="AB59" s="302"/>
      <c r="AC59" s="303"/>
      <c r="AD59" s="303"/>
      <c r="AE59" s="303"/>
      <c r="AF59" s="303"/>
      <c r="AG59" s="304"/>
      <c r="AH59" s="302"/>
      <c r="AI59" s="303"/>
      <c r="AJ59" s="303"/>
      <c r="AK59" s="303"/>
      <c r="AL59" s="303"/>
      <c r="AM59" s="304"/>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row>
    <row r="60" spans="1:80" x14ac:dyDescent="0.4">
      <c r="A60" s="80"/>
      <c r="B60" s="80"/>
      <c r="C60" s="80"/>
      <c r="D60" s="80"/>
      <c r="E60" s="80"/>
      <c r="F60" s="80"/>
      <c r="G60" s="80"/>
      <c r="H60" s="80"/>
      <c r="I60" s="80"/>
      <c r="J60" s="302"/>
      <c r="K60" s="303"/>
      <c r="L60" s="303"/>
      <c r="M60" s="303"/>
      <c r="N60" s="303"/>
      <c r="O60" s="304"/>
      <c r="P60" s="302"/>
      <c r="Q60" s="303"/>
      <c r="R60" s="303"/>
      <c r="S60" s="303"/>
      <c r="T60" s="303"/>
      <c r="U60" s="304"/>
      <c r="V60" s="302"/>
      <c r="W60" s="303"/>
      <c r="X60" s="303"/>
      <c r="Y60" s="303"/>
      <c r="Z60" s="303"/>
      <c r="AA60" s="304"/>
      <c r="AB60" s="302"/>
      <c r="AC60" s="303"/>
      <c r="AD60" s="303"/>
      <c r="AE60" s="303"/>
      <c r="AF60" s="303"/>
      <c r="AG60" s="304"/>
      <c r="AH60" s="302"/>
      <c r="AI60" s="303"/>
      <c r="AJ60" s="303"/>
      <c r="AK60" s="303"/>
      <c r="AL60" s="303"/>
      <c r="AM60" s="304"/>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row>
    <row r="61" spans="1:80" ht="15" thickBot="1" x14ac:dyDescent="0.45">
      <c r="A61" s="80"/>
      <c r="B61" s="80"/>
      <c r="C61" s="80"/>
      <c r="D61" s="80"/>
      <c r="E61" s="80"/>
      <c r="F61" s="80"/>
      <c r="G61" s="80"/>
      <c r="H61" s="80"/>
      <c r="I61" s="80"/>
      <c r="J61" s="305"/>
      <c r="K61" s="306"/>
      <c r="L61" s="306"/>
      <c r="M61" s="306"/>
      <c r="N61" s="306"/>
      <c r="O61" s="307"/>
      <c r="P61" s="305"/>
      <c r="Q61" s="306"/>
      <c r="R61" s="306"/>
      <c r="S61" s="306"/>
      <c r="T61" s="306"/>
      <c r="U61" s="307"/>
      <c r="V61" s="305"/>
      <c r="W61" s="306"/>
      <c r="X61" s="306"/>
      <c r="Y61" s="306"/>
      <c r="Z61" s="306"/>
      <c r="AA61" s="307"/>
      <c r="AB61" s="305"/>
      <c r="AC61" s="306"/>
      <c r="AD61" s="306"/>
      <c r="AE61" s="306"/>
      <c r="AF61" s="306"/>
      <c r="AG61" s="307"/>
      <c r="AH61" s="305"/>
      <c r="AI61" s="306"/>
      <c r="AJ61" s="306"/>
      <c r="AK61" s="306"/>
      <c r="AL61" s="306"/>
      <c r="AM61" s="307"/>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row>
    <row r="62" spans="1:80" x14ac:dyDescent="0.4">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row>
    <row r="63" spans="1:80" ht="15" customHeight="1" x14ac:dyDescent="0.4">
      <c r="A63" s="80"/>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0"/>
      <c r="AV63" s="80"/>
      <c r="AW63" s="80"/>
      <c r="AX63" s="80"/>
      <c r="AY63" s="80"/>
      <c r="AZ63" s="80"/>
      <c r="BA63" s="80"/>
      <c r="BB63" s="80"/>
      <c r="BC63" s="80"/>
      <c r="BD63" s="80"/>
      <c r="BE63" s="80"/>
      <c r="BF63" s="80"/>
      <c r="BG63" s="80"/>
      <c r="BH63" s="80"/>
    </row>
    <row r="64" spans="1:80" ht="15" customHeight="1" x14ac:dyDescent="0.4">
      <c r="A64" s="80"/>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0"/>
      <c r="AV64" s="80"/>
      <c r="AW64" s="80"/>
      <c r="AX64" s="80"/>
      <c r="AY64" s="80"/>
      <c r="AZ64" s="80"/>
      <c r="BA64" s="80"/>
      <c r="BB64" s="80"/>
      <c r="BC64" s="80"/>
      <c r="BD64" s="80"/>
      <c r="BE64" s="80"/>
      <c r="BF64" s="80"/>
      <c r="BG64" s="80"/>
      <c r="BH64" s="80"/>
    </row>
    <row r="65" spans="1:60" x14ac:dyDescent="0.4">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row>
    <row r="66" spans="1:60" x14ac:dyDescent="0.4">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row>
    <row r="67" spans="1:60" x14ac:dyDescent="0.4">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row>
    <row r="68" spans="1:60" x14ac:dyDescent="0.4">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row>
    <row r="69" spans="1:60" x14ac:dyDescent="0.4">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row>
    <row r="70" spans="1:60" x14ac:dyDescent="0.4">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row>
    <row r="71" spans="1:60" x14ac:dyDescent="0.4">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row>
    <row r="72" spans="1:60" x14ac:dyDescent="0.4">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row>
    <row r="73" spans="1:60" x14ac:dyDescent="0.4">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row>
    <row r="74" spans="1:60" x14ac:dyDescent="0.4">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row>
    <row r="75" spans="1:60" x14ac:dyDescent="0.4">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row>
    <row r="76" spans="1:60" x14ac:dyDescent="0.4">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row>
    <row r="77" spans="1:60" x14ac:dyDescent="0.4">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row>
    <row r="78" spans="1:60" x14ac:dyDescent="0.4">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row>
    <row r="79" spans="1:60" x14ac:dyDescent="0.4">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row>
    <row r="80" spans="1:60" x14ac:dyDescent="0.4">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row>
    <row r="81" spans="1:60" x14ac:dyDescent="0.4">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row>
    <row r="82" spans="1:60" x14ac:dyDescent="0.4">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row>
    <row r="83" spans="1:60" x14ac:dyDescent="0.4">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row>
    <row r="84" spans="1:60" x14ac:dyDescent="0.4">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row>
    <row r="85" spans="1:60" x14ac:dyDescent="0.4">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row>
    <row r="86" spans="1:60" x14ac:dyDescent="0.4">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row>
    <row r="87" spans="1:60" x14ac:dyDescent="0.4">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row>
    <row r="88" spans="1:60" x14ac:dyDescent="0.4">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row>
    <row r="89" spans="1:60" x14ac:dyDescent="0.4">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row>
    <row r="90" spans="1:60" x14ac:dyDescent="0.4">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row>
    <row r="91" spans="1:60" x14ac:dyDescent="0.4">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row>
    <row r="92" spans="1:60" x14ac:dyDescent="0.4">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row>
    <row r="93" spans="1:60" x14ac:dyDescent="0.4">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row>
    <row r="94" spans="1:60" x14ac:dyDescent="0.4">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row>
    <row r="95" spans="1:60" x14ac:dyDescent="0.4">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row>
    <row r="96" spans="1:60" x14ac:dyDescent="0.4">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row>
    <row r="97" spans="1:60" x14ac:dyDescent="0.4">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row>
    <row r="98" spans="1:60" x14ac:dyDescent="0.4">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row>
    <row r="99" spans="1:60" x14ac:dyDescent="0.4">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row>
    <row r="100" spans="1:60" x14ac:dyDescent="0.4">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row>
    <row r="101" spans="1:60" x14ac:dyDescent="0.4">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row>
    <row r="102" spans="1:60" x14ac:dyDescent="0.4">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row>
    <row r="103" spans="1:60" x14ac:dyDescent="0.4">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row>
    <row r="104" spans="1:60" x14ac:dyDescent="0.4">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row>
    <row r="105" spans="1:60" x14ac:dyDescent="0.4">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row>
    <row r="106" spans="1:60" x14ac:dyDescent="0.4">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row>
    <row r="107" spans="1:60" x14ac:dyDescent="0.4">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row>
    <row r="108" spans="1:60" x14ac:dyDescent="0.4">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row>
    <row r="109" spans="1:60" x14ac:dyDescent="0.4">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row>
    <row r="110" spans="1:60" x14ac:dyDescent="0.4">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row>
    <row r="111" spans="1:60" x14ac:dyDescent="0.4">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row>
    <row r="112" spans="1:60" x14ac:dyDescent="0.4">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row>
    <row r="113" spans="1:60" x14ac:dyDescent="0.4">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row>
    <row r="114" spans="1:60" x14ac:dyDescent="0.4">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row>
    <row r="115" spans="1:60" x14ac:dyDescent="0.4">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row>
    <row r="116" spans="1:60" x14ac:dyDescent="0.4">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row>
    <row r="117" spans="1:60" x14ac:dyDescent="0.4">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row>
    <row r="118" spans="1:60" x14ac:dyDescent="0.4">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row>
    <row r="119" spans="1:60" x14ac:dyDescent="0.4">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row>
    <row r="120" spans="1:60" x14ac:dyDescent="0.4">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row>
    <row r="121" spans="1:60" x14ac:dyDescent="0.4">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row>
    <row r="122" spans="1:60" x14ac:dyDescent="0.4">
      <c r="A122" s="80"/>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row>
    <row r="123" spans="1:60" x14ac:dyDescent="0.4">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row>
    <row r="124" spans="1:60" x14ac:dyDescent="0.4">
      <c r="A124" s="80"/>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row>
    <row r="125" spans="1:60" x14ac:dyDescent="0.4">
      <c r="A125" s="80"/>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row>
    <row r="126" spans="1:60" x14ac:dyDescent="0.4">
      <c r="A126" s="80"/>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row>
    <row r="127" spans="1:60" x14ac:dyDescent="0.4">
      <c r="A127" s="80"/>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row>
    <row r="128" spans="1:60" x14ac:dyDescent="0.4">
      <c r="A128" s="80"/>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row>
    <row r="129" spans="1:60" x14ac:dyDescent="0.4">
      <c r="A129" s="80"/>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row>
    <row r="130" spans="1:60" x14ac:dyDescent="0.4">
      <c r="A130" s="80"/>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row>
    <row r="131" spans="1:60" x14ac:dyDescent="0.4">
      <c r="A131" s="80"/>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row>
    <row r="132" spans="1:60" x14ac:dyDescent="0.4">
      <c r="A132" s="80"/>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row>
    <row r="133" spans="1:60" x14ac:dyDescent="0.4">
      <c r="A133" s="80"/>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row>
    <row r="134" spans="1:60" x14ac:dyDescent="0.4">
      <c r="A134" s="80"/>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row>
    <row r="135" spans="1:60" x14ac:dyDescent="0.4">
      <c r="A135" s="80"/>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row>
    <row r="136" spans="1:60" x14ac:dyDescent="0.4">
      <c r="A136" s="80"/>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row>
    <row r="137" spans="1:60" x14ac:dyDescent="0.4">
      <c r="A137" s="80"/>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row>
    <row r="138" spans="1:60" x14ac:dyDescent="0.4">
      <c r="A138" s="80"/>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0"/>
    </row>
    <row r="139" spans="1:60" x14ac:dyDescent="0.4">
      <c r="A139" s="80"/>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0"/>
      <c r="BD139" s="80"/>
      <c r="BE139" s="80"/>
      <c r="BF139" s="80"/>
      <c r="BG139" s="80"/>
      <c r="BH139" s="80"/>
    </row>
    <row r="140" spans="1:60" x14ac:dyDescent="0.4">
      <c r="A140" s="80"/>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c r="BF140" s="80"/>
      <c r="BG140" s="80"/>
      <c r="BH140" s="80"/>
    </row>
    <row r="141" spans="1:60" x14ac:dyDescent="0.4">
      <c r="A141" s="80"/>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c r="BF141" s="80"/>
      <c r="BG141" s="80"/>
      <c r="BH141" s="80"/>
    </row>
    <row r="142" spans="1:60" x14ac:dyDescent="0.4">
      <c r="A142" s="80"/>
      <c r="B142" s="80"/>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c r="BD142" s="80"/>
      <c r="BE142" s="80"/>
      <c r="BF142" s="80"/>
      <c r="BG142" s="80"/>
      <c r="BH142" s="80"/>
    </row>
    <row r="143" spans="1:60" x14ac:dyDescent="0.4">
      <c r="A143" s="80"/>
      <c r="B143" s="80"/>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row>
    <row r="144" spans="1:60" x14ac:dyDescent="0.4">
      <c r="A144" s="80"/>
      <c r="B144" s="80"/>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0"/>
      <c r="BD144" s="80"/>
      <c r="BE144" s="80"/>
      <c r="BF144" s="80"/>
      <c r="BG144" s="80"/>
      <c r="BH144" s="80"/>
    </row>
    <row r="145" spans="1:60" x14ac:dyDescent="0.4">
      <c r="A145" s="80"/>
      <c r="B145" s="80"/>
      <c r="C145" s="80"/>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c r="BD145" s="80"/>
      <c r="BE145" s="80"/>
      <c r="BF145" s="80"/>
      <c r="BG145" s="80"/>
      <c r="BH145" s="80"/>
    </row>
    <row r="146" spans="1:60" x14ac:dyDescent="0.4">
      <c r="A146" s="80"/>
      <c r="B146" s="80"/>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row>
    <row r="147" spans="1:60" x14ac:dyDescent="0.4">
      <c r="A147" s="80"/>
      <c r="B147" s="80"/>
      <c r="C147" s="80"/>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row>
    <row r="148" spans="1:60" x14ac:dyDescent="0.4">
      <c r="A148" s="80"/>
      <c r="B148" s="80"/>
      <c r="C148" s="80"/>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c r="BF148" s="80"/>
      <c r="BG148" s="80"/>
      <c r="BH148" s="80"/>
    </row>
    <row r="149" spans="1:60" x14ac:dyDescent="0.4">
      <c r="A149" s="80"/>
      <c r="B149" s="80"/>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c r="BH149" s="80"/>
    </row>
    <row r="150" spans="1:60" x14ac:dyDescent="0.4">
      <c r="A150" s="80"/>
      <c r="B150" s="80"/>
      <c r="C150" s="80"/>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row>
    <row r="151" spans="1:60" x14ac:dyDescent="0.4">
      <c r="A151" s="80"/>
      <c r="B151" s="80"/>
      <c r="C151" s="80"/>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0"/>
      <c r="BD151" s="80"/>
      <c r="BE151" s="80"/>
      <c r="BF151" s="80"/>
      <c r="BG151" s="80"/>
      <c r="BH151" s="80"/>
    </row>
    <row r="152" spans="1:60" x14ac:dyDescent="0.4">
      <c r="A152" s="80"/>
      <c r="B152" s="80"/>
      <c r="C152" s="80"/>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0"/>
      <c r="BD152" s="80"/>
      <c r="BE152" s="80"/>
      <c r="BF152" s="80"/>
      <c r="BG152" s="80"/>
      <c r="BH152" s="80"/>
    </row>
    <row r="153" spans="1:60" x14ac:dyDescent="0.4">
      <c r="A153" s="80"/>
      <c r="B153" s="80"/>
      <c r="C153" s="80"/>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c r="BD153" s="80"/>
      <c r="BE153" s="80"/>
      <c r="BF153" s="80"/>
      <c r="BG153" s="80"/>
      <c r="BH153" s="80"/>
    </row>
    <row r="154" spans="1:60" x14ac:dyDescent="0.4">
      <c r="A154" s="80"/>
      <c r="B154" s="80"/>
      <c r="C154" s="80"/>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0"/>
      <c r="BD154" s="80"/>
      <c r="BE154" s="80"/>
      <c r="BF154" s="80"/>
      <c r="BG154" s="80"/>
      <c r="BH154" s="80"/>
    </row>
    <row r="155" spans="1:60" x14ac:dyDescent="0.4">
      <c r="A155" s="80"/>
      <c r="B155" s="80"/>
      <c r="C155" s="80"/>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0"/>
      <c r="BD155" s="80"/>
      <c r="BE155" s="80"/>
      <c r="BF155" s="80"/>
      <c r="BG155" s="80"/>
      <c r="BH155" s="80"/>
    </row>
    <row r="156" spans="1:60" x14ac:dyDescent="0.4">
      <c r="A156" s="80"/>
      <c r="B156" s="80"/>
      <c r="C156" s="80"/>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0"/>
      <c r="BD156" s="80"/>
      <c r="BE156" s="80"/>
      <c r="BF156" s="80"/>
      <c r="BG156" s="80"/>
      <c r="BH156" s="80"/>
    </row>
    <row r="157" spans="1:60" x14ac:dyDescent="0.4">
      <c r="A157" s="80"/>
      <c r="B157" s="80"/>
      <c r="C157" s="80"/>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c r="BC157" s="80"/>
      <c r="BD157" s="80"/>
      <c r="BE157" s="80"/>
      <c r="BF157" s="80"/>
      <c r="BG157" s="80"/>
      <c r="BH157" s="80"/>
    </row>
    <row r="158" spans="1:60" x14ac:dyDescent="0.4">
      <c r="A158" s="80"/>
      <c r="B158" s="80"/>
      <c r="C158" s="80"/>
      <c r="D158" s="80"/>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80"/>
      <c r="BB158" s="80"/>
      <c r="BC158" s="80"/>
      <c r="BD158" s="80"/>
      <c r="BE158" s="80"/>
      <c r="BF158" s="80"/>
      <c r="BG158" s="80"/>
      <c r="BH158" s="80"/>
    </row>
    <row r="159" spans="1:60" x14ac:dyDescent="0.4">
      <c r="A159" s="80"/>
      <c r="B159" s="80"/>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0"/>
      <c r="BD159" s="80"/>
      <c r="BE159" s="80"/>
      <c r="BF159" s="80"/>
      <c r="BG159" s="80"/>
      <c r="BH159" s="80"/>
    </row>
    <row r="160" spans="1:60" x14ac:dyDescent="0.4">
      <c r="A160" s="80"/>
      <c r="B160" s="80"/>
      <c r="C160" s="80"/>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c r="BC160" s="80"/>
      <c r="BD160" s="80"/>
      <c r="BE160" s="80"/>
      <c r="BF160" s="80"/>
      <c r="BG160" s="80"/>
      <c r="BH160" s="80"/>
    </row>
    <row r="161" spans="1:60" x14ac:dyDescent="0.4">
      <c r="A161" s="80"/>
      <c r="B161" s="80"/>
      <c r="C161" s="80"/>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0"/>
      <c r="BB161" s="80"/>
      <c r="BC161" s="80"/>
      <c r="BD161" s="80"/>
      <c r="BE161" s="80"/>
      <c r="BF161" s="80"/>
      <c r="BG161" s="80"/>
      <c r="BH161" s="80"/>
    </row>
    <row r="162" spans="1:60" x14ac:dyDescent="0.4">
      <c r="A162" s="80"/>
      <c r="B162" s="80"/>
      <c r="C162" s="80"/>
      <c r="D162" s="80"/>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0"/>
      <c r="BD162" s="80"/>
      <c r="BE162" s="80"/>
      <c r="BF162" s="80"/>
      <c r="BG162" s="80"/>
      <c r="BH162" s="80"/>
    </row>
    <row r="163" spans="1:60" x14ac:dyDescent="0.4">
      <c r="A163" s="80"/>
      <c r="B163" s="80"/>
      <c r="C163" s="80"/>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0"/>
      <c r="BD163" s="80"/>
      <c r="BE163" s="80"/>
      <c r="BF163" s="80"/>
      <c r="BG163" s="80"/>
      <c r="BH163" s="80"/>
    </row>
    <row r="164" spans="1:60" x14ac:dyDescent="0.4">
      <c r="A164" s="80"/>
      <c r="B164" s="80"/>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80"/>
      <c r="BB164" s="80"/>
      <c r="BC164" s="80"/>
      <c r="BD164" s="80"/>
      <c r="BE164" s="80"/>
      <c r="BF164" s="80"/>
      <c r="BG164" s="80"/>
      <c r="BH164" s="80"/>
    </row>
    <row r="165" spans="1:60" x14ac:dyDescent="0.4">
      <c r="A165" s="80"/>
      <c r="B165" s="80"/>
      <c r="C165" s="80"/>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0"/>
      <c r="BD165" s="80"/>
      <c r="BE165" s="80"/>
      <c r="BF165" s="80"/>
      <c r="BG165" s="80"/>
      <c r="BH165" s="80"/>
    </row>
    <row r="166" spans="1:60" x14ac:dyDescent="0.4">
      <c r="A166" s="80"/>
      <c r="B166" s="80"/>
      <c r="C166" s="80"/>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80"/>
      <c r="BA166" s="80"/>
      <c r="BB166" s="80"/>
      <c r="BC166" s="80"/>
      <c r="BD166" s="80"/>
      <c r="BE166" s="80"/>
      <c r="BF166" s="80"/>
      <c r="BG166" s="80"/>
      <c r="BH166" s="80"/>
    </row>
    <row r="167" spans="1:60" x14ac:dyDescent="0.4">
      <c r="A167" s="80"/>
      <c r="B167" s="80"/>
      <c r="C167" s="80"/>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c r="BC167" s="80"/>
      <c r="BD167" s="80"/>
      <c r="BE167" s="80"/>
      <c r="BF167" s="80"/>
      <c r="BG167" s="80"/>
      <c r="BH167" s="80"/>
    </row>
    <row r="168" spans="1:60" x14ac:dyDescent="0.4">
      <c r="A168" s="80"/>
      <c r="B168" s="80"/>
      <c r="C168" s="80"/>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0"/>
      <c r="BD168" s="80"/>
      <c r="BE168" s="80"/>
      <c r="BF168" s="80"/>
      <c r="BG168" s="80"/>
      <c r="BH168" s="80"/>
    </row>
    <row r="169" spans="1:60" x14ac:dyDescent="0.4">
      <c r="A169" s="80"/>
      <c r="B169" s="80"/>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c r="BE169" s="80"/>
      <c r="BF169" s="80"/>
      <c r="BG169" s="80"/>
      <c r="BH169" s="80"/>
    </row>
    <row r="170" spans="1:60" x14ac:dyDescent="0.4">
      <c r="A170" s="80"/>
      <c r="B170" s="80"/>
      <c r="C170" s="80"/>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80"/>
      <c r="BA170" s="80"/>
      <c r="BB170" s="80"/>
      <c r="BC170" s="80"/>
      <c r="BD170" s="80"/>
      <c r="BE170" s="80"/>
      <c r="BF170" s="80"/>
      <c r="BG170" s="80"/>
      <c r="BH170" s="80"/>
    </row>
    <row r="171" spans="1:60" x14ac:dyDescent="0.4">
      <c r="A171" s="80"/>
      <c r="B171" s="80"/>
      <c r="C171" s="80"/>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80"/>
      <c r="BB171" s="80"/>
      <c r="BC171" s="80"/>
      <c r="BD171" s="80"/>
      <c r="BE171" s="80"/>
      <c r="BF171" s="80"/>
      <c r="BG171" s="80"/>
      <c r="BH171" s="80"/>
    </row>
    <row r="172" spans="1:60" x14ac:dyDescent="0.4">
      <c r="A172" s="80"/>
      <c r="B172" s="80"/>
      <c r="C172" s="80"/>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80"/>
      <c r="AV172" s="80"/>
      <c r="AW172" s="80"/>
      <c r="AX172" s="80"/>
      <c r="AY172" s="80"/>
      <c r="AZ172" s="80"/>
      <c r="BA172" s="80"/>
      <c r="BB172" s="80"/>
      <c r="BC172" s="80"/>
      <c r="BD172" s="80"/>
      <c r="BE172" s="80"/>
      <c r="BF172" s="80"/>
      <c r="BG172" s="80"/>
      <c r="BH172" s="80"/>
    </row>
    <row r="173" spans="1:60" x14ac:dyDescent="0.4">
      <c r="A173" s="80"/>
      <c r="B173" s="80"/>
      <c r="C173" s="80"/>
      <c r="D173" s="80"/>
      <c r="E173" s="80"/>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c r="BC173" s="80"/>
      <c r="BD173" s="80"/>
      <c r="BE173" s="80"/>
      <c r="BF173" s="80"/>
      <c r="BG173" s="80"/>
      <c r="BH173" s="80"/>
    </row>
    <row r="174" spans="1:60" x14ac:dyDescent="0.4">
      <c r="A174" s="80"/>
      <c r="B174" s="80"/>
      <c r="C174" s="80"/>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0"/>
      <c r="BD174" s="80"/>
      <c r="BE174" s="80"/>
      <c r="BF174" s="80"/>
      <c r="BG174" s="80"/>
      <c r="BH174" s="80"/>
    </row>
    <row r="175" spans="1:60" x14ac:dyDescent="0.4">
      <c r="A175" s="80"/>
      <c r="B175" s="80"/>
      <c r="C175" s="80"/>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0"/>
      <c r="BD175" s="80"/>
      <c r="BE175" s="80"/>
      <c r="BF175" s="80"/>
      <c r="BG175" s="80"/>
      <c r="BH175" s="80"/>
    </row>
    <row r="176" spans="1:60" x14ac:dyDescent="0.4">
      <c r="A176" s="80"/>
      <c r="B176" s="80"/>
      <c r="C176" s="80"/>
      <c r="D176" s="80"/>
      <c r="E176" s="80"/>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c r="BE176" s="80"/>
      <c r="BF176" s="80"/>
      <c r="BG176" s="80"/>
      <c r="BH176" s="80"/>
    </row>
    <row r="177" spans="1:60" x14ac:dyDescent="0.4">
      <c r="A177" s="80"/>
      <c r="B177" s="80"/>
      <c r="C177" s="80"/>
      <c r="D177" s="80"/>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c r="BE177" s="80"/>
      <c r="BF177" s="80"/>
      <c r="BG177" s="80"/>
      <c r="BH177" s="80"/>
    </row>
    <row r="178" spans="1:60" x14ac:dyDescent="0.4">
      <c r="A178" s="80"/>
      <c r="B178" s="80"/>
      <c r="C178" s="80"/>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row>
    <row r="179" spans="1:60" x14ac:dyDescent="0.4">
      <c r="A179" s="80"/>
      <c r="B179" s="80"/>
      <c r="C179" s="80"/>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c r="BE179" s="80"/>
      <c r="BF179" s="80"/>
      <c r="BG179" s="80"/>
      <c r="BH179" s="80"/>
    </row>
    <row r="180" spans="1:60" x14ac:dyDescent="0.4">
      <c r="A180" s="80"/>
      <c r="B180" s="80"/>
      <c r="C180" s="80"/>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row>
    <row r="181" spans="1:60" x14ac:dyDescent="0.4">
      <c r="A181" s="80"/>
      <c r="B181" s="80"/>
      <c r="C181" s="80"/>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c r="BE181" s="80"/>
      <c r="BF181" s="80"/>
      <c r="BG181" s="80"/>
      <c r="BH181" s="80"/>
    </row>
    <row r="182" spans="1:60" x14ac:dyDescent="0.4">
      <c r="A182" s="80"/>
      <c r="B182" s="80"/>
      <c r="C182" s="80"/>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row>
    <row r="183" spans="1:60" x14ac:dyDescent="0.4">
      <c r="A183" s="80"/>
      <c r="B183" s="80"/>
      <c r="C183" s="80"/>
      <c r="D183" s="80"/>
      <c r="E183" s="80"/>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row>
    <row r="184" spans="1:60" x14ac:dyDescent="0.4">
      <c r="A184" s="80"/>
      <c r="B184" s="80"/>
      <c r="C184" s="80"/>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row>
    <row r="185" spans="1:60" x14ac:dyDescent="0.4">
      <c r="A185" s="80"/>
      <c r="B185" s="80"/>
      <c r="C185" s="80"/>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row>
    <row r="186" spans="1:60" x14ac:dyDescent="0.4">
      <c r="A186" s="80"/>
      <c r="B186" s="80"/>
      <c r="C186" s="80"/>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row>
    <row r="187" spans="1:60" x14ac:dyDescent="0.4">
      <c r="A187" s="80"/>
      <c r="B187" s="80"/>
      <c r="C187" s="80"/>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row>
    <row r="188" spans="1:60" x14ac:dyDescent="0.4">
      <c r="A188" s="80"/>
      <c r="B188" s="80"/>
      <c r="C188" s="80"/>
      <c r="D188" s="80"/>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row>
    <row r="189" spans="1:60" x14ac:dyDescent="0.4">
      <c r="A189" s="80"/>
      <c r="B189" s="80"/>
      <c r="C189" s="80"/>
      <c r="D189" s="80"/>
      <c r="E189" s="80"/>
      <c r="F189" s="80"/>
      <c r="G189" s="80"/>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row>
    <row r="190" spans="1:60" x14ac:dyDescent="0.4">
      <c r="A190" s="80"/>
      <c r="B190" s="80"/>
      <c r="C190" s="80"/>
      <c r="D190" s="80"/>
      <c r="E190" s="80"/>
      <c r="F190" s="80"/>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row>
    <row r="191" spans="1:60" x14ac:dyDescent="0.4">
      <c r="A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row>
    <row r="192" spans="1:60" x14ac:dyDescent="0.4">
      <c r="A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row>
    <row r="193" spans="1:60" x14ac:dyDescent="0.4">
      <c r="A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row>
    <row r="194" spans="1:60" x14ac:dyDescent="0.4">
      <c r="A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row>
    <row r="195" spans="1:60" x14ac:dyDescent="0.4">
      <c r="A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row>
    <row r="196" spans="1:60" x14ac:dyDescent="0.4">
      <c r="A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row>
    <row r="197" spans="1:60" x14ac:dyDescent="0.4">
      <c r="A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row>
    <row r="198" spans="1:60" x14ac:dyDescent="0.4">
      <c r="A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row>
    <row r="199" spans="1:60" x14ac:dyDescent="0.4">
      <c r="A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80"/>
    </row>
    <row r="200" spans="1:60" x14ac:dyDescent="0.4">
      <c r="A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row>
    <row r="201" spans="1:60" x14ac:dyDescent="0.4">
      <c r="A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row>
    <row r="202" spans="1:60" x14ac:dyDescent="0.4">
      <c r="A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c r="BF202" s="80"/>
      <c r="BG202" s="80"/>
      <c r="BH202" s="80"/>
    </row>
    <row r="203" spans="1:60" x14ac:dyDescent="0.4">
      <c r="A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80"/>
    </row>
    <row r="204" spans="1:60" x14ac:dyDescent="0.4">
      <c r="A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c r="BF204" s="80"/>
      <c r="BG204" s="80"/>
      <c r="BH204" s="80"/>
    </row>
    <row r="205" spans="1:60" x14ac:dyDescent="0.4">
      <c r="A205" s="80"/>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c r="BE205" s="80"/>
      <c r="BF205" s="80"/>
      <c r="BG205" s="80"/>
      <c r="BH205" s="80"/>
    </row>
    <row r="206" spans="1:60" x14ac:dyDescent="0.4">
      <c r="A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c r="BF206" s="80"/>
      <c r="BG206" s="80"/>
      <c r="BH206" s="80"/>
    </row>
    <row r="207" spans="1:60" x14ac:dyDescent="0.4">
      <c r="A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c r="BF207" s="80"/>
      <c r="BG207" s="80"/>
      <c r="BH207" s="80"/>
    </row>
    <row r="208" spans="1:60" x14ac:dyDescent="0.4">
      <c r="A208" s="80"/>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row>
    <row r="209" spans="1:60" x14ac:dyDescent="0.4">
      <c r="A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c r="BF209" s="80"/>
      <c r="BG209" s="80"/>
      <c r="BH209" s="80"/>
    </row>
    <row r="210" spans="1:60" x14ac:dyDescent="0.4">
      <c r="A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c r="BE210" s="80"/>
      <c r="BF210" s="80"/>
      <c r="BG210" s="80"/>
      <c r="BH210" s="80"/>
    </row>
    <row r="211" spans="1:60" x14ac:dyDescent="0.4">
      <c r="A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row>
    <row r="212" spans="1:60" x14ac:dyDescent="0.4">
      <c r="A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c r="BF212" s="80"/>
      <c r="BG212" s="80"/>
      <c r="BH212" s="80"/>
    </row>
    <row r="213" spans="1:60" x14ac:dyDescent="0.4">
      <c r="A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0"/>
      <c r="BD213" s="80"/>
      <c r="BE213" s="80"/>
      <c r="BF213" s="80"/>
      <c r="BG213" s="80"/>
      <c r="BH213" s="80"/>
    </row>
    <row r="214" spans="1:60" x14ac:dyDescent="0.4">
      <c r="A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c r="BF214" s="80"/>
      <c r="BG214" s="80"/>
      <c r="BH214" s="80"/>
    </row>
    <row r="215" spans="1:60" x14ac:dyDescent="0.4">
      <c r="A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0"/>
      <c r="BD215" s="80"/>
      <c r="BE215" s="80"/>
      <c r="BF215" s="80"/>
      <c r="BG215" s="80"/>
      <c r="BH215" s="80"/>
    </row>
    <row r="216" spans="1:60" x14ac:dyDescent="0.4">
      <c r="A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80"/>
      <c r="BA216" s="80"/>
      <c r="BB216" s="80"/>
      <c r="BC216" s="80"/>
      <c r="BD216" s="80"/>
      <c r="BE216" s="80"/>
      <c r="BF216" s="80"/>
      <c r="BG216" s="80"/>
      <c r="BH216" s="80"/>
    </row>
    <row r="217" spans="1:60" x14ac:dyDescent="0.4">
      <c r="A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c r="BD217" s="80"/>
      <c r="BE217" s="80"/>
      <c r="BF217" s="80"/>
      <c r="BG217" s="80"/>
      <c r="BH217" s="80"/>
    </row>
    <row r="218" spans="1:60" x14ac:dyDescent="0.4">
      <c r="A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80"/>
      <c r="BA218" s="80"/>
      <c r="BB218" s="80"/>
      <c r="BC218" s="80"/>
      <c r="BD218" s="80"/>
      <c r="BE218" s="80"/>
      <c r="BF218" s="80"/>
      <c r="BG218" s="80"/>
      <c r="BH218" s="80"/>
    </row>
    <row r="219" spans="1:60" x14ac:dyDescent="0.4">
      <c r="A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80"/>
      <c r="BA219" s="80"/>
      <c r="BB219" s="80"/>
      <c r="BC219" s="80"/>
      <c r="BD219" s="80"/>
      <c r="BE219" s="80"/>
      <c r="BF219" s="80"/>
      <c r="BG219" s="80"/>
      <c r="BH219" s="80"/>
    </row>
    <row r="220" spans="1:60" x14ac:dyDescent="0.4">
      <c r="A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80"/>
      <c r="BA220" s="80"/>
      <c r="BB220" s="80"/>
      <c r="BC220" s="80"/>
      <c r="BD220" s="80"/>
      <c r="BE220" s="80"/>
      <c r="BF220" s="80"/>
      <c r="BG220" s="80"/>
      <c r="BH220" s="80"/>
    </row>
    <row r="221" spans="1:60" x14ac:dyDescent="0.4">
      <c r="A221" s="80"/>
      <c r="J221" s="80"/>
      <c r="K221" s="80"/>
      <c r="L221" s="80"/>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80"/>
      <c r="BA221" s="80"/>
      <c r="BB221" s="80"/>
      <c r="BC221" s="80"/>
      <c r="BD221" s="80"/>
      <c r="BE221" s="80"/>
      <c r="BF221" s="80"/>
      <c r="BG221" s="80"/>
      <c r="BH221" s="80"/>
    </row>
    <row r="222" spans="1:60" x14ac:dyDescent="0.4">
      <c r="A222" s="80"/>
      <c r="J222" s="80"/>
      <c r="K222" s="80"/>
      <c r="L222" s="80"/>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V222" s="80"/>
      <c r="AW222" s="80"/>
      <c r="AX222" s="80"/>
      <c r="AY222" s="80"/>
      <c r="AZ222" s="80"/>
      <c r="BA222" s="80"/>
      <c r="BB222" s="80"/>
      <c r="BC222" s="80"/>
      <c r="BD222" s="80"/>
      <c r="BE222" s="80"/>
      <c r="BF222" s="80"/>
      <c r="BG222" s="80"/>
      <c r="BH222" s="80"/>
    </row>
    <row r="223" spans="1:60" x14ac:dyDescent="0.4">
      <c r="A223" s="80"/>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0"/>
      <c r="BD223" s="80"/>
      <c r="BE223" s="80"/>
      <c r="BF223" s="80"/>
      <c r="BG223" s="80"/>
      <c r="BH223" s="80"/>
    </row>
    <row r="224" spans="1:60" x14ac:dyDescent="0.4">
      <c r="A224" s="80"/>
      <c r="J224" s="80"/>
      <c r="K224" s="80"/>
      <c r="L224" s="80"/>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80"/>
      <c r="BB224" s="80"/>
      <c r="BC224" s="80"/>
      <c r="BD224" s="80"/>
      <c r="BE224" s="80"/>
      <c r="BF224" s="80"/>
      <c r="BG224" s="80"/>
      <c r="BH224" s="80"/>
    </row>
    <row r="225" spans="1:60" x14ac:dyDescent="0.4">
      <c r="A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0"/>
      <c r="BD225" s="80"/>
      <c r="BE225" s="80"/>
      <c r="BF225" s="80"/>
      <c r="BG225" s="80"/>
      <c r="BH225" s="80"/>
    </row>
    <row r="226" spans="1:60" x14ac:dyDescent="0.4">
      <c r="A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80"/>
      <c r="BA226" s="80"/>
      <c r="BB226" s="80"/>
      <c r="BC226" s="80"/>
      <c r="BD226" s="80"/>
      <c r="BE226" s="80"/>
      <c r="BF226" s="80"/>
      <c r="BG226" s="80"/>
      <c r="BH226" s="80"/>
    </row>
    <row r="227" spans="1:60" x14ac:dyDescent="0.4">
      <c r="A227" s="80"/>
      <c r="J227" s="80"/>
      <c r="K227" s="80"/>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80"/>
      <c r="BA227" s="80"/>
      <c r="BB227" s="80"/>
      <c r="BC227" s="80"/>
      <c r="BD227" s="80"/>
      <c r="BE227" s="80"/>
      <c r="BF227" s="80"/>
      <c r="BG227" s="80"/>
      <c r="BH227" s="80"/>
    </row>
    <row r="228" spans="1:60" x14ac:dyDescent="0.4">
      <c r="A228" s="80"/>
      <c r="J228" s="80"/>
      <c r="K228" s="80"/>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80"/>
      <c r="BB228" s="80"/>
      <c r="BC228" s="80"/>
      <c r="BD228" s="80"/>
      <c r="BE228" s="80"/>
      <c r="BF228" s="80"/>
      <c r="BG228" s="80"/>
      <c r="BH228" s="80"/>
    </row>
    <row r="229" spans="1:60" x14ac:dyDescent="0.4">
      <c r="A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80"/>
      <c r="BA229" s="80"/>
      <c r="BB229" s="80"/>
      <c r="BC229" s="80"/>
      <c r="BD229" s="80"/>
      <c r="BE229" s="80"/>
      <c r="BF229" s="80"/>
      <c r="BG229" s="80"/>
      <c r="BH229" s="80"/>
    </row>
    <row r="230" spans="1:60" x14ac:dyDescent="0.4">
      <c r="A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c r="BF230" s="80"/>
      <c r="BG230" s="80"/>
      <c r="BH230" s="80"/>
    </row>
    <row r="231" spans="1:60" x14ac:dyDescent="0.4">
      <c r="A231" s="80"/>
      <c r="J231" s="80"/>
      <c r="K231" s="80"/>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V231" s="80"/>
      <c r="AW231" s="80"/>
      <c r="AX231" s="80"/>
      <c r="AY231" s="80"/>
      <c r="AZ231" s="80"/>
      <c r="BA231" s="80"/>
      <c r="BB231" s="80"/>
      <c r="BC231" s="80"/>
      <c r="BD231" s="80"/>
      <c r="BE231" s="80"/>
      <c r="BF231" s="80"/>
      <c r="BG231" s="80"/>
      <c r="BH231" s="80"/>
    </row>
    <row r="232" spans="1:60" x14ac:dyDescent="0.4">
      <c r="A232" s="80"/>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0"/>
      <c r="AZ232" s="80"/>
      <c r="BA232" s="80"/>
      <c r="BB232" s="80"/>
      <c r="BC232" s="80"/>
      <c r="BD232" s="80"/>
      <c r="BE232" s="80"/>
      <c r="BF232" s="80"/>
      <c r="BG232" s="80"/>
      <c r="BH232" s="80"/>
    </row>
    <row r="233" spans="1:60" x14ac:dyDescent="0.4">
      <c r="A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0"/>
      <c r="BD233" s="80"/>
      <c r="BE233" s="80"/>
      <c r="BF233" s="80"/>
      <c r="BG233" s="80"/>
      <c r="BH233" s="80"/>
    </row>
    <row r="234" spans="1:60" x14ac:dyDescent="0.4">
      <c r="A234" s="80"/>
      <c r="J234" s="80"/>
      <c r="K234" s="8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c r="AX234" s="80"/>
      <c r="AY234" s="80"/>
      <c r="AZ234" s="80"/>
      <c r="BA234" s="80"/>
      <c r="BB234" s="80"/>
      <c r="BC234" s="80"/>
      <c r="BD234" s="80"/>
      <c r="BE234" s="80"/>
      <c r="BF234" s="80"/>
      <c r="BG234" s="80"/>
      <c r="BH234" s="80"/>
    </row>
    <row r="235" spans="1:60" x14ac:dyDescent="0.4">
      <c r="A235" s="80"/>
      <c r="J235" s="80"/>
      <c r="K235" s="80"/>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c r="AN235" s="80"/>
      <c r="AO235" s="80"/>
      <c r="AP235" s="80"/>
      <c r="AQ235" s="80"/>
      <c r="AR235" s="80"/>
      <c r="AS235" s="80"/>
      <c r="AT235" s="80"/>
      <c r="AU235" s="80"/>
      <c r="AV235" s="80"/>
      <c r="AW235" s="80"/>
      <c r="AX235" s="80"/>
      <c r="AY235" s="80"/>
      <c r="AZ235" s="80"/>
      <c r="BA235" s="80"/>
      <c r="BB235" s="80"/>
      <c r="BC235" s="80"/>
      <c r="BD235" s="80"/>
      <c r="BE235" s="80"/>
      <c r="BF235" s="80"/>
      <c r="BG235" s="80"/>
      <c r="BH235" s="80"/>
    </row>
    <row r="236" spans="1:60" x14ac:dyDescent="0.4">
      <c r="A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80"/>
      <c r="BC236" s="80"/>
      <c r="BD236" s="80"/>
      <c r="BE236" s="80"/>
      <c r="BF236" s="80"/>
      <c r="BG236" s="80"/>
      <c r="BH236" s="80"/>
    </row>
    <row r="237" spans="1:60" x14ac:dyDescent="0.4">
      <c r="A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0"/>
      <c r="BC237" s="80"/>
      <c r="BD237" s="80"/>
      <c r="BE237" s="80"/>
      <c r="BF237" s="80"/>
      <c r="BG237" s="80"/>
      <c r="BH237" s="80"/>
    </row>
    <row r="238" spans="1:60" x14ac:dyDescent="0.4">
      <c r="A238" s="80"/>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80"/>
      <c r="BA238" s="80"/>
      <c r="BB238" s="80"/>
      <c r="BC238" s="80"/>
      <c r="BD238" s="80"/>
      <c r="BE238" s="80"/>
      <c r="BF238" s="80"/>
      <c r="BG238" s="80"/>
      <c r="BH238" s="80"/>
    </row>
    <row r="239" spans="1:60" x14ac:dyDescent="0.4">
      <c r="A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0"/>
      <c r="BD239" s="80"/>
      <c r="BE239" s="80"/>
      <c r="BF239" s="80"/>
      <c r="BG239" s="80"/>
      <c r="BH239" s="80"/>
    </row>
    <row r="240" spans="1:60" x14ac:dyDescent="0.4">
      <c r="A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80"/>
      <c r="BA240" s="80"/>
      <c r="BB240" s="80"/>
      <c r="BC240" s="80"/>
      <c r="BD240" s="80"/>
      <c r="BE240" s="80"/>
      <c r="BF240" s="80"/>
      <c r="BG240" s="80"/>
      <c r="BH240" s="80"/>
    </row>
    <row r="241" spans="1:60" x14ac:dyDescent="0.4">
      <c r="A241" s="80"/>
      <c r="J241" s="80"/>
      <c r="K241" s="80"/>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80"/>
      <c r="BA241" s="80"/>
      <c r="BB241" s="80"/>
      <c r="BC241" s="80"/>
      <c r="BD241" s="80"/>
      <c r="BE241" s="80"/>
      <c r="BF241" s="80"/>
      <c r="BG241" s="80"/>
      <c r="BH241" s="80"/>
    </row>
    <row r="242" spans="1:60" x14ac:dyDescent="0.4">
      <c r="A242" s="80"/>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0"/>
      <c r="AN242" s="80"/>
      <c r="AO242" s="80"/>
      <c r="AP242" s="80"/>
      <c r="AQ242" s="80"/>
      <c r="AR242" s="80"/>
      <c r="AS242" s="80"/>
      <c r="AT242" s="80"/>
      <c r="AU242" s="80"/>
      <c r="AV242" s="80"/>
      <c r="AW242" s="80"/>
      <c r="AX242" s="80"/>
      <c r="AY242" s="80"/>
      <c r="AZ242" s="80"/>
      <c r="BA242" s="80"/>
      <c r="BB242" s="80"/>
      <c r="BC242" s="80"/>
      <c r="BD242" s="80"/>
      <c r="BE242" s="80"/>
      <c r="BF242" s="80"/>
      <c r="BG242" s="80"/>
      <c r="BH242" s="80"/>
    </row>
    <row r="243" spans="1:60" x14ac:dyDescent="0.4">
      <c r="A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0"/>
      <c r="BB243" s="80"/>
      <c r="BC243" s="80"/>
      <c r="BD243" s="80"/>
      <c r="BE243" s="80"/>
      <c r="BF243" s="80"/>
      <c r="BG243" s="80"/>
      <c r="BH243" s="80"/>
    </row>
    <row r="244" spans="1:60" x14ac:dyDescent="0.4">
      <c r="A244" s="80"/>
      <c r="J244" s="80"/>
      <c r="K244" s="80"/>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0"/>
      <c r="BD244" s="80"/>
      <c r="BE244" s="80"/>
      <c r="BF244" s="80"/>
      <c r="BG244" s="80"/>
      <c r="BH244" s="80"/>
    </row>
    <row r="245" spans="1:60" x14ac:dyDescent="0.4">
      <c r="A245" s="80"/>
    </row>
    <row r="246" spans="1:60" x14ac:dyDescent="0.4">
      <c r="A246" s="80"/>
    </row>
    <row r="247" spans="1:60" x14ac:dyDescent="0.4">
      <c r="A247" s="80"/>
    </row>
    <row r="248" spans="1:60" x14ac:dyDescent="0.4">
      <c r="A248" s="80"/>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7" sqref="C7"/>
    </sheetView>
  </sheetViews>
  <sheetFormatPr baseColWidth="10" defaultRowHeight="14.6" x14ac:dyDescent="0.4"/>
  <cols>
    <col min="2" max="2" width="24.15234375" customWidth="1"/>
    <col min="3" max="3" width="70.15234375" customWidth="1"/>
    <col min="4" max="4" width="29.84375" customWidth="1"/>
  </cols>
  <sheetData>
    <row r="1" spans="1:37" ht="22.3" x14ac:dyDescent="0.4">
      <c r="A1" s="80"/>
      <c r="B1" s="349" t="s">
        <v>54</v>
      </c>
      <c r="C1" s="349"/>
      <c r="D1" s="349"/>
      <c r="E1" s="80"/>
      <c r="F1" s="80"/>
      <c r="G1" s="80"/>
      <c r="H1" s="80"/>
      <c r="I1" s="80"/>
      <c r="J1" s="80"/>
      <c r="K1" s="80"/>
      <c r="L1" s="80"/>
      <c r="M1" s="80"/>
      <c r="N1" s="80"/>
      <c r="O1" s="80"/>
      <c r="P1" s="80"/>
      <c r="Q1" s="80"/>
      <c r="R1" s="80"/>
      <c r="S1" s="80"/>
      <c r="T1" s="80"/>
      <c r="U1" s="80"/>
      <c r="V1" s="80"/>
      <c r="W1" s="80"/>
      <c r="X1" s="80"/>
      <c r="Y1" s="80"/>
      <c r="Z1" s="80"/>
      <c r="AA1" s="80"/>
      <c r="AB1" s="80"/>
      <c r="AC1" s="80"/>
      <c r="AD1" s="80"/>
      <c r="AE1" s="80"/>
    </row>
    <row r="2" spans="1:37" x14ac:dyDescent="0.4">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row>
    <row r="3" spans="1:37" ht="24.9" x14ac:dyDescent="0.4">
      <c r="A3" s="80"/>
      <c r="B3" s="8"/>
      <c r="C3" s="9" t="s">
        <v>51</v>
      </c>
      <c r="D3" s="9" t="s">
        <v>4</v>
      </c>
      <c r="E3" s="80"/>
      <c r="F3" s="80"/>
      <c r="G3" s="80"/>
      <c r="H3" s="80"/>
      <c r="I3" s="80"/>
      <c r="J3" s="80"/>
      <c r="K3" s="80"/>
      <c r="L3" s="80"/>
      <c r="M3" s="80"/>
      <c r="N3" s="80"/>
      <c r="O3" s="80"/>
      <c r="P3" s="80"/>
      <c r="Q3" s="80"/>
      <c r="R3" s="80"/>
      <c r="S3" s="80"/>
      <c r="T3" s="80"/>
      <c r="U3" s="80"/>
      <c r="V3" s="80"/>
      <c r="W3" s="80"/>
      <c r="X3" s="80"/>
      <c r="Y3" s="80"/>
      <c r="Z3" s="80"/>
      <c r="AA3" s="80"/>
      <c r="AB3" s="80"/>
      <c r="AC3" s="80"/>
      <c r="AD3" s="80"/>
      <c r="AE3" s="80"/>
    </row>
    <row r="4" spans="1:37" ht="49.75" x14ac:dyDescent="0.4">
      <c r="A4" s="80"/>
      <c r="B4" s="10" t="s">
        <v>50</v>
      </c>
      <c r="C4" s="11" t="s">
        <v>101</v>
      </c>
      <c r="D4" s="12">
        <v>0.2</v>
      </c>
      <c r="E4" s="80"/>
      <c r="F4" s="80"/>
      <c r="G4" s="80"/>
      <c r="H4" s="80"/>
      <c r="I4" s="80"/>
      <c r="J4" s="80"/>
      <c r="K4" s="80"/>
      <c r="L4" s="80"/>
      <c r="M4" s="80"/>
      <c r="N4" s="80"/>
      <c r="O4" s="80"/>
      <c r="P4" s="80"/>
      <c r="Q4" s="80"/>
      <c r="R4" s="80"/>
      <c r="S4" s="80"/>
      <c r="T4" s="80"/>
      <c r="U4" s="80"/>
      <c r="V4" s="80"/>
      <c r="W4" s="80"/>
      <c r="X4" s="80"/>
      <c r="Y4" s="80"/>
      <c r="Z4" s="80"/>
      <c r="AA4" s="80"/>
      <c r="AB4" s="80"/>
      <c r="AC4" s="80"/>
      <c r="AD4" s="80"/>
      <c r="AE4" s="80"/>
    </row>
    <row r="5" spans="1:37" ht="49.75" x14ac:dyDescent="0.4">
      <c r="A5" s="80"/>
      <c r="B5" s="13" t="s">
        <v>52</v>
      </c>
      <c r="C5" s="14" t="s">
        <v>102</v>
      </c>
      <c r="D5" s="15">
        <v>0.4</v>
      </c>
      <c r="E5" s="80"/>
      <c r="F5" s="80"/>
      <c r="G5" s="80"/>
      <c r="H5" s="80"/>
      <c r="I5" s="80"/>
      <c r="J5" s="80"/>
      <c r="K5" s="80"/>
      <c r="L5" s="80"/>
      <c r="M5" s="80"/>
      <c r="N5" s="80"/>
      <c r="O5" s="80"/>
      <c r="P5" s="80"/>
      <c r="Q5" s="80"/>
      <c r="R5" s="80"/>
      <c r="S5" s="80"/>
      <c r="T5" s="80"/>
      <c r="U5" s="80"/>
      <c r="V5" s="80"/>
      <c r="W5" s="80"/>
      <c r="X5" s="80"/>
      <c r="Y5" s="80"/>
      <c r="Z5" s="80"/>
      <c r="AA5" s="80"/>
      <c r="AB5" s="80"/>
      <c r="AC5" s="80"/>
      <c r="AD5" s="80"/>
      <c r="AE5" s="80"/>
    </row>
    <row r="6" spans="1:37" ht="49.75" x14ac:dyDescent="0.4">
      <c r="A6" s="80"/>
      <c r="B6" s="16" t="s">
        <v>106</v>
      </c>
      <c r="C6" s="14" t="s">
        <v>103</v>
      </c>
      <c r="D6" s="15">
        <v>0.6</v>
      </c>
      <c r="E6" s="80"/>
      <c r="F6" s="80"/>
      <c r="G6" s="80"/>
      <c r="H6" s="80"/>
      <c r="I6" s="80"/>
      <c r="J6" s="80"/>
      <c r="K6" s="80"/>
      <c r="L6" s="80"/>
      <c r="M6" s="80"/>
      <c r="N6" s="80"/>
      <c r="O6" s="80"/>
      <c r="P6" s="80"/>
      <c r="Q6" s="80"/>
      <c r="R6" s="80"/>
      <c r="S6" s="80"/>
      <c r="T6" s="80"/>
      <c r="U6" s="80"/>
      <c r="V6" s="80"/>
      <c r="W6" s="80"/>
      <c r="X6" s="80"/>
      <c r="Y6" s="80"/>
      <c r="Z6" s="80"/>
      <c r="AA6" s="80"/>
      <c r="AB6" s="80"/>
      <c r="AC6" s="80"/>
      <c r="AD6" s="80"/>
      <c r="AE6" s="80"/>
    </row>
    <row r="7" spans="1:37" ht="74.599999999999994" x14ac:dyDescent="0.4">
      <c r="A7" s="80"/>
      <c r="B7" s="17" t="s">
        <v>6</v>
      </c>
      <c r="C7" s="14" t="s">
        <v>104</v>
      </c>
      <c r="D7" s="15">
        <v>0.8</v>
      </c>
      <c r="E7" s="80"/>
      <c r="F7" s="80"/>
      <c r="G7" s="80"/>
      <c r="H7" s="80"/>
      <c r="I7" s="80"/>
      <c r="J7" s="80"/>
      <c r="K7" s="80"/>
      <c r="L7" s="80"/>
      <c r="M7" s="80"/>
      <c r="N7" s="80"/>
      <c r="O7" s="80"/>
      <c r="P7" s="80"/>
      <c r="Q7" s="80"/>
      <c r="R7" s="80"/>
      <c r="S7" s="80"/>
      <c r="T7" s="80"/>
      <c r="U7" s="80"/>
      <c r="V7" s="80"/>
      <c r="W7" s="80"/>
      <c r="X7" s="80"/>
      <c r="Y7" s="80"/>
      <c r="Z7" s="80"/>
      <c r="AA7" s="80"/>
      <c r="AB7" s="80"/>
      <c r="AC7" s="80"/>
      <c r="AD7" s="80"/>
      <c r="AE7" s="80"/>
    </row>
    <row r="8" spans="1:37" ht="49.75" x14ac:dyDescent="0.4">
      <c r="A8" s="80"/>
      <c r="B8" s="18" t="s">
        <v>53</v>
      </c>
      <c r="C8" s="14" t="s">
        <v>105</v>
      </c>
      <c r="D8" s="15">
        <v>1</v>
      </c>
      <c r="E8" s="80"/>
      <c r="F8" s="80"/>
      <c r="G8" s="80"/>
      <c r="H8" s="80"/>
      <c r="I8" s="80"/>
      <c r="J8" s="80"/>
      <c r="K8" s="80"/>
      <c r="L8" s="80"/>
      <c r="M8" s="80"/>
      <c r="N8" s="80"/>
      <c r="O8" s="80"/>
      <c r="P8" s="80"/>
      <c r="Q8" s="80"/>
      <c r="R8" s="80"/>
      <c r="S8" s="80"/>
      <c r="T8" s="80"/>
      <c r="U8" s="80"/>
      <c r="V8" s="80"/>
      <c r="W8" s="80"/>
      <c r="X8" s="80"/>
      <c r="Y8" s="80"/>
      <c r="Z8" s="80"/>
      <c r="AA8" s="80"/>
      <c r="AB8" s="80"/>
      <c r="AC8" s="80"/>
      <c r="AD8" s="80"/>
      <c r="AE8" s="80"/>
    </row>
    <row r="9" spans="1:37" x14ac:dyDescent="0.4">
      <c r="A9" s="80"/>
      <c r="B9" s="104"/>
      <c r="C9" s="104"/>
      <c r="D9" s="104"/>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row>
    <row r="10" spans="1:37" x14ac:dyDescent="0.4">
      <c r="A10" s="80"/>
      <c r="B10" s="105"/>
      <c r="C10" s="104"/>
      <c r="D10" s="104"/>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row>
    <row r="11" spans="1:37" x14ac:dyDescent="0.4">
      <c r="A11" s="80"/>
      <c r="B11" s="104"/>
      <c r="C11" s="104"/>
      <c r="D11" s="104"/>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row>
    <row r="12" spans="1:37" x14ac:dyDescent="0.4">
      <c r="A12" s="80"/>
      <c r="B12" s="104"/>
      <c r="C12" s="104"/>
      <c r="D12" s="104"/>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row>
    <row r="13" spans="1:37" x14ac:dyDescent="0.4">
      <c r="A13" s="80"/>
      <c r="B13" s="104"/>
      <c r="C13" s="104"/>
      <c r="D13" s="104"/>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row>
    <row r="14" spans="1:37" x14ac:dyDescent="0.4">
      <c r="A14" s="80"/>
      <c r="B14" s="104"/>
      <c r="C14" s="104"/>
      <c r="D14" s="104"/>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row>
    <row r="15" spans="1:37" x14ac:dyDescent="0.4">
      <c r="A15" s="80"/>
      <c r="B15" s="104"/>
      <c r="C15" s="104"/>
      <c r="D15" s="104"/>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row>
    <row r="16" spans="1:37" x14ac:dyDescent="0.4">
      <c r="A16" s="80"/>
      <c r="B16" s="104"/>
      <c r="C16" s="104"/>
      <c r="D16" s="104"/>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row>
    <row r="17" spans="1:37" x14ac:dyDescent="0.4">
      <c r="A17" s="80"/>
      <c r="B17" s="104"/>
      <c r="C17" s="104"/>
      <c r="D17" s="104"/>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row>
    <row r="18" spans="1:37" x14ac:dyDescent="0.4">
      <c r="A18" s="80"/>
      <c r="B18" s="104"/>
      <c r="C18" s="104"/>
      <c r="D18" s="104"/>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row>
    <row r="19" spans="1:37" x14ac:dyDescent="0.4">
      <c r="A19" s="80"/>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row>
    <row r="20" spans="1:37" x14ac:dyDescent="0.4">
      <c r="A20" s="80"/>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row>
    <row r="21" spans="1:37" x14ac:dyDescent="0.4">
      <c r="A21" s="80"/>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row>
    <row r="22" spans="1:37" x14ac:dyDescent="0.4">
      <c r="A22" s="80"/>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row>
    <row r="23" spans="1:37" x14ac:dyDescent="0.4">
      <c r="A23" s="80"/>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row>
    <row r="24" spans="1:37" x14ac:dyDescent="0.4">
      <c r="A24" s="80"/>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row>
    <row r="25" spans="1:37" x14ac:dyDescent="0.4">
      <c r="A25" s="80"/>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row>
    <row r="26" spans="1:37" x14ac:dyDescent="0.4">
      <c r="A26" s="80"/>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row>
    <row r="27" spans="1:37" x14ac:dyDescent="0.4">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row>
    <row r="28" spans="1:37" x14ac:dyDescent="0.4">
      <c r="A28" s="80"/>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row>
    <row r="29" spans="1:37" x14ac:dyDescent="0.4">
      <c r="A29" s="80"/>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row>
    <row r="30" spans="1:37" x14ac:dyDescent="0.4">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row>
    <row r="31" spans="1:37" x14ac:dyDescent="0.4">
      <c r="A31" s="80"/>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row>
    <row r="32" spans="1:37" x14ac:dyDescent="0.4">
      <c r="A32" s="80"/>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row>
    <row r="33" spans="1:31" x14ac:dyDescent="0.4">
      <c r="A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row>
    <row r="34" spans="1:31" x14ac:dyDescent="0.4">
      <c r="A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row>
    <row r="35" spans="1:31" x14ac:dyDescent="0.4">
      <c r="A35" s="80"/>
    </row>
    <row r="36" spans="1:31" x14ac:dyDescent="0.4">
      <c r="A36" s="80"/>
    </row>
    <row r="37" spans="1:31" x14ac:dyDescent="0.4">
      <c r="A37" s="80"/>
    </row>
    <row r="38" spans="1:31" x14ac:dyDescent="0.4">
      <c r="A38" s="80"/>
    </row>
    <row r="39" spans="1:31" x14ac:dyDescent="0.4">
      <c r="A39" s="80"/>
    </row>
    <row r="40" spans="1:31" x14ac:dyDescent="0.4">
      <c r="A40" s="80"/>
    </row>
    <row r="41" spans="1:31" x14ac:dyDescent="0.4">
      <c r="A41" s="80"/>
    </row>
    <row r="42" spans="1:31" x14ac:dyDescent="0.4">
      <c r="A42" s="80"/>
    </row>
    <row r="43" spans="1:31" x14ac:dyDescent="0.4">
      <c r="A43" s="80"/>
    </row>
    <row r="44" spans="1:31" x14ac:dyDescent="0.4">
      <c r="A44" s="80"/>
    </row>
    <row r="45" spans="1:31" x14ac:dyDescent="0.4">
      <c r="A45" s="80"/>
    </row>
    <row r="46" spans="1:31" x14ac:dyDescent="0.4">
      <c r="A46" s="80"/>
    </row>
    <row r="47" spans="1:31" x14ac:dyDescent="0.4">
      <c r="A47" s="80"/>
    </row>
    <row r="48" spans="1:31" x14ac:dyDescent="0.4">
      <c r="A48" s="80"/>
    </row>
    <row r="49" spans="1:1" x14ac:dyDescent="0.4">
      <c r="A49" s="80"/>
    </row>
    <row r="50" spans="1:1" x14ac:dyDescent="0.4">
      <c r="A50" s="80"/>
    </row>
    <row r="51" spans="1:1" x14ac:dyDescent="0.4">
      <c r="A51" s="80"/>
    </row>
    <row r="52" spans="1:1" x14ac:dyDescent="0.4">
      <c r="A52" s="80"/>
    </row>
    <row r="53" spans="1:1" x14ac:dyDescent="0.4">
      <c r="A53" s="80"/>
    </row>
    <row r="54" spans="1:1" x14ac:dyDescent="0.4">
      <c r="A54" s="80"/>
    </row>
    <row r="55" spans="1:1" x14ac:dyDescent="0.4">
      <c r="A55" s="80"/>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zoomScale="60" zoomScaleNormal="60" workbookViewId="0">
      <selection activeCell="A6" sqref="A6"/>
    </sheetView>
  </sheetViews>
  <sheetFormatPr baseColWidth="10" defaultRowHeight="14.6" x14ac:dyDescent="0.4"/>
  <cols>
    <col min="2" max="2" width="40.3828125" customWidth="1"/>
    <col min="3" max="3" width="74.84375" customWidth="1"/>
    <col min="4" max="4" width="135" bestFit="1" customWidth="1"/>
    <col min="5" max="5" width="144.69140625" bestFit="1" customWidth="1"/>
  </cols>
  <sheetData>
    <row r="1" spans="1:21" ht="32.6" x14ac:dyDescent="0.4">
      <c r="A1" s="80"/>
      <c r="B1" s="350" t="s">
        <v>62</v>
      </c>
      <c r="C1" s="350"/>
      <c r="D1" s="350"/>
      <c r="E1" s="80"/>
      <c r="F1" s="80"/>
      <c r="G1" s="80"/>
      <c r="H1" s="80"/>
      <c r="I1" s="80"/>
      <c r="J1" s="80"/>
      <c r="K1" s="80"/>
      <c r="L1" s="80"/>
      <c r="M1" s="80"/>
      <c r="N1" s="80"/>
      <c r="O1" s="80"/>
      <c r="P1" s="80"/>
      <c r="Q1" s="80"/>
      <c r="R1" s="80"/>
      <c r="S1" s="80"/>
      <c r="T1" s="80"/>
      <c r="U1" s="80"/>
    </row>
    <row r="2" spans="1:21" x14ac:dyDescent="0.4">
      <c r="A2" s="80"/>
      <c r="B2" s="80"/>
      <c r="C2" s="80"/>
      <c r="D2" s="80"/>
      <c r="E2" s="80"/>
      <c r="F2" s="80"/>
      <c r="G2" s="80"/>
      <c r="H2" s="80"/>
      <c r="I2" s="80"/>
      <c r="J2" s="80"/>
      <c r="K2" s="80"/>
      <c r="L2" s="80"/>
      <c r="M2" s="80"/>
      <c r="N2" s="80"/>
      <c r="O2" s="80"/>
      <c r="P2" s="80"/>
      <c r="Q2" s="80"/>
      <c r="R2" s="80"/>
      <c r="S2" s="80"/>
      <c r="T2" s="80"/>
      <c r="U2" s="80"/>
    </row>
    <row r="3" spans="1:21" ht="30" x14ac:dyDescent="0.4">
      <c r="A3" s="80"/>
      <c r="B3" s="101"/>
      <c r="C3" s="32" t="s">
        <v>55</v>
      </c>
      <c r="D3" s="32" t="s">
        <v>56</v>
      </c>
      <c r="E3" s="80"/>
      <c r="F3" s="80"/>
      <c r="G3" s="80"/>
      <c r="H3" s="80"/>
      <c r="I3" s="80"/>
      <c r="J3" s="80"/>
      <c r="K3" s="80"/>
      <c r="L3" s="80"/>
      <c r="M3" s="80"/>
      <c r="N3" s="80"/>
      <c r="O3" s="80"/>
      <c r="P3" s="80"/>
      <c r="Q3" s="80"/>
      <c r="R3" s="80"/>
      <c r="S3" s="80"/>
      <c r="T3" s="80"/>
      <c r="U3" s="80"/>
    </row>
    <row r="4" spans="1:21" ht="32.6" x14ac:dyDescent="0.4">
      <c r="A4" s="100" t="s">
        <v>82</v>
      </c>
      <c r="B4" s="35" t="s">
        <v>100</v>
      </c>
      <c r="C4" s="40" t="s">
        <v>157</v>
      </c>
      <c r="D4" s="33" t="s">
        <v>96</v>
      </c>
      <c r="E4" s="80"/>
      <c r="F4" s="80"/>
      <c r="G4" s="80"/>
      <c r="H4" s="80"/>
      <c r="I4" s="80"/>
      <c r="J4" s="80"/>
      <c r="K4" s="80"/>
      <c r="L4" s="80"/>
      <c r="M4" s="80"/>
      <c r="N4" s="80"/>
      <c r="O4" s="80"/>
      <c r="P4" s="80"/>
      <c r="Q4" s="80"/>
      <c r="R4" s="80"/>
      <c r="S4" s="80"/>
      <c r="T4" s="80"/>
      <c r="U4" s="80"/>
    </row>
    <row r="5" spans="1:21" ht="65.150000000000006" x14ac:dyDescent="0.4">
      <c r="A5" s="100" t="s">
        <v>83</v>
      </c>
      <c r="B5" s="36" t="s">
        <v>58</v>
      </c>
      <c r="C5" s="41" t="s">
        <v>92</v>
      </c>
      <c r="D5" s="34" t="s">
        <v>97</v>
      </c>
      <c r="E5" s="80"/>
      <c r="F5" s="80"/>
      <c r="G5" s="80"/>
      <c r="H5" s="80"/>
      <c r="I5" s="80"/>
      <c r="J5" s="80"/>
      <c r="K5" s="80"/>
      <c r="L5" s="80"/>
      <c r="M5" s="80"/>
      <c r="N5" s="80"/>
      <c r="O5" s="80"/>
      <c r="P5" s="80"/>
      <c r="Q5" s="80"/>
      <c r="R5" s="80"/>
      <c r="S5" s="80"/>
      <c r="T5" s="80"/>
      <c r="U5" s="80"/>
    </row>
    <row r="6" spans="1:21" ht="65.150000000000006" x14ac:dyDescent="0.4">
      <c r="A6" s="100" t="s">
        <v>80</v>
      </c>
      <c r="B6" s="37" t="s">
        <v>59</v>
      </c>
      <c r="C6" s="41" t="s">
        <v>93</v>
      </c>
      <c r="D6" s="34" t="s">
        <v>99</v>
      </c>
      <c r="E6" s="80"/>
      <c r="F6" s="80"/>
      <c r="G6" s="80"/>
      <c r="H6" s="80"/>
      <c r="I6" s="80"/>
      <c r="J6" s="80"/>
      <c r="K6" s="80"/>
      <c r="L6" s="80"/>
      <c r="M6" s="80"/>
      <c r="N6" s="80"/>
      <c r="O6" s="80"/>
      <c r="P6" s="80"/>
      <c r="Q6" s="80"/>
      <c r="R6" s="80"/>
      <c r="S6" s="80"/>
      <c r="T6" s="80"/>
      <c r="U6" s="80"/>
    </row>
    <row r="7" spans="1:21" ht="65.150000000000006" x14ac:dyDescent="0.4">
      <c r="A7" s="100" t="s">
        <v>7</v>
      </c>
      <c r="B7" s="38" t="s">
        <v>60</v>
      </c>
      <c r="C7" s="41" t="s">
        <v>94</v>
      </c>
      <c r="D7" s="34" t="s">
        <v>98</v>
      </c>
      <c r="E7" s="80"/>
      <c r="F7" s="80"/>
      <c r="G7" s="80"/>
      <c r="H7" s="80"/>
      <c r="I7" s="80"/>
      <c r="J7" s="80"/>
      <c r="K7" s="80"/>
      <c r="L7" s="80"/>
      <c r="M7" s="80"/>
      <c r="N7" s="80"/>
      <c r="O7" s="80"/>
      <c r="P7" s="80"/>
      <c r="Q7" s="80"/>
      <c r="R7" s="80"/>
      <c r="S7" s="80"/>
      <c r="T7" s="80"/>
      <c r="U7" s="80"/>
    </row>
    <row r="8" spans="1:21" ht="65.150000000000006" x14ac:dyDescent="0.4">
      <c r="A8" s="100" t="s">
        <v>84</v>
      </c>
      <c r="B8" s="39" t="s">
        <v>61</v>
      </c>
      <c r="C8" s="41" t="s">
        <v>95</v>
      </c>
      <c r="D8" s="34" t="s">
        <v>117</v>
      </c>
      <c r="E8" s="80"/>
      <c r="F8" s="80"/>
      <c r="G8" s="80"/>
      <c r="H8" s="80"/>
      <c r="I8" s="80"/>
      <c r="J8" s="80"/>
      <c r="K8" s="80"/>
      <c r="L8" s="80"/>
      <c r="M8" s="80"/>
      <c r="N8" s="80"/>
      <c r="O8" s="80"/>
      <c r="P8" s="80"/>
      <c r="Q8" s="80"/>
      <c r="R8" s="80"/>
      <c r="S8" s="80"/>
      <c r="T8" s="80"/>
      <c r="U8" s="80"/>
    </row>
    <row r="9" spans="1:21" ht="20.149999999999999" x14ac:dyDescent="0.4">
      <c r="A9" s="100"/>
      <c r="B9" s="100"/>
      <c r="C9" s="102"/>
      <c r="D9" s="102"/>
      <c r="E9" s="80"/>
      <c r="F9" s="80"/>
      <c r="G9" s="80"/>
      <c r="H9" s="80"/>
      <c r="I9" s="80"/>
      <c r="J9" s="80"/>
      <c r="K9" s="80"/>
      <c r="L9" s="80"/>
      <c r="M9" s="80"/>
      <c r="N9" s="80"/>
      <c r="O9" s="80"/>
      <c r="P9" s="80"/>
      <c r="Q9" s="80"/>
      <c r="R9" s="80"/>
      <c r="S9" s="80"/>
      <c r="T9" s="80"/>
      <c r="U9" s="80"/>
    </row>
    <row r="10" spans="1:21" x14ac:dyDescent="0.4">
      <c r="A10" s="100"/>
      <c r="B10" s="103"/>
      <c r="C10" s="103"/>
      <c r="D10" s="103"/>
      <c r="E10" s="80"/>
      <c r="F10" s="80"/>
      <c r="G10" s="80"/>
      <c r="H10" s="80"/>
      <c r="I10" s="80"/>
      <c r="J10" s="80"/>
      <c r="K10" s="80"/>
      <c r="L10" s="80"/>
      <c r="M10" s="80"/>
      <c r="N10" s="80"/>
      <c r="O10" s="80"/>
      <c r="P10" s="80"/>
      <c r="Q10" s="80"/>
      <c r="R10" s="80"/>
      <c r="S10" s="80"/>
      <c r="T10" s="80"/>
      <c r="U10" s="80"/>
    </row>
    <row r="11" spans="1:21" x14ac:dyDescent="0.4">
      <c r="A11" s="100"/>
      <c r="B11" s="100" t="s">
        <v>90</v>
      </c>
      <c r="C11" s="100" t="s">
        <v>145</v>
      </c>
      <c r="D11" s="100" t="s">
        <v>152</v>
      </c>
      <c r="E11" s="80"/>
      <c r="F11" s="80"/>
      <c r="G11" s="80"/>
      <c r="H11" s="80"/>
      <c r="I11" s="80"/>
      <c r="J11" s="80"/>
      <c r="K11" s="80"/>
      <c r="L11" s="80"/>
      <c r="M11" s="80"/>
      <c r="N11" s="80"/>
      <c r="O11" s="80"/>
      <c r="P11" s="80"/>
      <c r="Q11" s="80"/>
      <c r="R11" s="80"/>
      <c r="S11" s="80"/>
      <c r="T11" s="80"/>
      <c r="U11" s="80"/>
    </row>
    <row r="12" spans="1:21" x14ac:dyDescent="0.4">
      <c r="A12" s="100"/>
      <c r="B12" s="100" t="s">
        <v>88</v>
      </c>
      <c r="C12" s="100" t="s">
        <v>149</v>
      </c>
      <c r="D12" s="100" t="s">
        <v>153</v>
      </c>
      <c r="E12" s="80"/>
      <c r="F12" s="80"/>
      <c r="G12" s="80"/>
      <c r="H12" s="80"/>
      <c r="I12" s="80"/>
      <c r="J12" s="80"/>
      <c r="K12" s="80"/>
      <c r="L12" s="80"/>
      <c r="M12" s="80"/>
      <c r="N12" s="80"/>
      <c r="O12" s="80"/>
      <c r="P12" s="80"/>
      <c r="Q12" s="80"/>
      <c r="R12" s="80"/>
      <c r="S12" s="80"/>
      <c r="T12" s="80"/>
      <c r="U12" s="80"/>
    </row>
    <row r="13" spans="1:21" x14ac:dyDescent="0.4">
      <c r="A13" s="100"/>
      <c r="B13" s="100"/>
      <c r="C13" s="100" t="s">
        <v>148</v>
      </c>
      <c r="D13" s="100" t="s">
        <v>154</v>
      </c>
      <c r="E13" s="80"/>
      <c r="F13" s="80"/>
      <c r="G13" s="80"/>
      <c r="H13" s="80"/>
      <c r="I13" s="80"/>
      <c r="J13" s="80"/>
      <c r="K13" s="80"/>
      <c r="L13" s="80"/>
      <c r="M13" s="80"/>
      <c r="N13" s="80"/>
      <c r="O13" s="80"/>
      <c r="P13" s="80"/>
      <c r="Q13" s="80"/>
      <c r="R13" s="80"/>
      <c r="S13" s="80"/>
      <c r="T13" s="80"/>
      <c r="U13" s="80"/>
    </row>
    <row r="14" spans="1:21" x14ac:dyDescent="0.4">
      <c r="A14" s="100"/>
      <c r="B14" s="100"/>
      <c r="C14" s="100" t="s">
        <v>150</v>
      </c>
      <c r="D14" s="100" t="s">
        <v>155</v>
      </c>
      <c r="E14" s="80"/>
      <c r="F14" s="80"/>
      <c r="G14" s="80"/>
      <c r="H14" s="80"/>
      <c r="I14" s="80"/>
      <c r="J14" s="80"/>
      <c r="K14" s="80"/>
      <c r="L14" s="80"/>
      <c r="M14" s="80"/>
      <c r="N14" s="80"/>
      <c r="O14" s="80"/>
      <c r="P14" s="80"/>
      <c r="Q14" s="80"/>
      <c r="R14" s="80"/>
      <c r="S14" s="80"/>
      <c r="T14" s="80"/>
      <c r="U14" s="80"/>
    </row>
    <row r="15" spans="1:21" x14ac:dyDescent="0.4">
      <c r="A15" s="100"/>
      <c r="B15" s="100"/>
      <c r="C15" s="100" t="s">
        <v>151</v>
      </c>
      <c r="D15" s="100" t="s">
        <v>156</v>
      </c>
      <c r="E15" s="80"/>
      <c r="F15" s="80"/>
      <c r="G15" s="80"/>
      <c r="H15" s="80"/>
      <c r="I15" s="80"/>
      <c r="J15" s="80"/>
      <c r="K15" s="80"/>
      <c r="L15" s="80"/>
      <c r="M15" s="80"/>
      <c r="N15" s="80"/>
      <c r="O15" s="80"/>
      <c r="P15" s="80"/>
      <c r="Q15" s="80"/>
      <c r="R15" s="80"/>
      <c r="S15" s="80"/>
      <c r="T15" s="80"/>
      <c r="U15" s="80"/>
    </row>
    <row r="16" spans="1:21" x14ac:dyDescent="0.4">
      <c r="A16" s="100"/>
      <c r="B16" s="100"/>
      <c r="C16" s="100"/>
      <c r="D16" s="100"/>
      <c r="E16" s="80"/>
      <c r="F16" s="80"/>
      <c r="G16" s="80"/>
      <c r="H16" s="80"/>
      <c r="I16" s="80"/>
      <c r="J16" s="80"/>
      <c r="K16" s="80"/>
      <c r="L16" s="80"/>
      <c r="M16" s="80"/>
      <c r="N16" s="80"/>
      <c r="O16" s="80"/>
    </row>
    <row r="17" spans="1:15" x14ac:dyDescent="0.4">
      <c r="A17" s="100"/>
      <c r="B17" s="100"/>
      <c r="C17" s="100"/>
      <c r="D17" s="100"/>
      <c r="E17" s="80"/>
      <c r="F17" s="80"/>
      <c r="G17" s="80"/>
      <c r="H17" s="80"/>
      <c r="I17" s="80"/>
      <c r="J17" s="80"/>
      <c r="K17" s="80"/>
      <c r="L17" s="80"/>
      <c r="M17" s="80"/>
      <c r="N17" s="80"/>
      <c r="O17" s="80"/>
    </row>
    <row r="18" spans="1:15" x14ac:dyDescent="0.4">
      <c r="A18" s="100"/>
      <c r="B18" s="104"/>
      <c r="C18" s="104"/>
      <c r="D18" s="104"/>
      <c r="E18" s="80"/>
      <c r="F18" s="80"/>
      <c r="G18" s="80"/>
      <c r="H18" s="80"/>
      <c r="I18" s="80"/>
      <c r="J18" s="80"/>
      <c r="K18" s="80"/>
      <c r="L18" s="80"/>
      <c r="M18" s="80"/>
      <c r="N18" s="80"/>
      <c r="O18" s="80"/>
    </row>
    <row r="19" spans="1:15" x14ac:dyDescent="0.4">
      <c r="A19" s="100"/>
      <c r="B19" s="104"/>
      <c r="C19" s="104"/>
      <c r="D19" s="104"/>
      <c r="E19" s="80"/>
      <c r="F19" s="80"/>
      <c r="G19" s="80"/>
      <c r="H19" s="80"/>
      <c r="I19" s="80"/>
      <c r="J19" s="80"/>
      <c r="K19" s="80"/>
      <c r="L19" s="80"/>
      <c r="M19" s="80"/>
      <c r="N19" s="80"/>
      <c r="O19" s="80"/>
    </row>
    <row r="20" spans="1:15" x14ac:dyDescent="0.4">
      <c r="A20" s="100"/>
      <c r="B20" s="104"/>
      <c r="C20" s="104"/>
      <c r="D20" s="104"/>
      <c r="E20" s="80"/>
      <c r="F20" s="80"/>
      <c r="G20" s="80"/>
      <c r="H20" s="80"/>
      <c r="I20" s="80"/>
      <c r="J20" s="80"/>
      <c r="K20" s="80"/>
      <c r="L20" s="80"/>
      <c r="M20" s="80"/>
      <c r="N20" s="80"/>
      <c r="O20" s="80"/>
    </row>
    <row r="21" spans="1:15" x14ac:dyDescent="0.4">
      <c r="A21" s="100"/>
      <c r="B21" s="104"/>
      <c r="C21" s="104"/>
      <c r="D21" s="104"/>
      <c r="E21" s="80"/>
      <c r="F21" s="80"/>
      <c r="G21" s="80"/>
      <c r="H21" s="80"/>
      <c r="I21" s="80"/>
      <c r="J21" s="80"/>
      <c r="K21" s="80"/>
      <c r="L21" s="80"/>
      <c r="M21" s="80"/>
      <c r="N21" s="80"/>
      <c r="O21" s="80"/>
    </row>
    <row r="22" spans="1:15" ht="20.149999999999999" x14ac:dyDescent="0.4">
      <c r="A22" s="100"/>
      <c r="B22" s="100"/>
      <c r="C22" s="102"/>
      <c r="D22" s="102"/>
      <c r="E22" s="80"/>
      <c r="F22" s="80"/>
      <c r="G22" s="80"/>
      <c r="H22" s="80"/>
      <c r="I22" s="80"/>
      <c r="J22" s="80"/>
      <c r="K22" s="80"/>
      <c r="L22" s="80"/>
      <c r="M22" s="80"/>
      <c r="N22" s="80"/>
      <c r="O22" s="80"/>
    </row>
    <row r="23" spans="1:15" ht="20.149999999999999" x14ac:dyDescent="0.4">
      <c r="A23" s="100"/>
      <c r="B23" s="100"/>
      <c r="C23" s="102"/>
      <c r="D23" s="102"/>
      <c r="E23" s="80"/>
      <c r="F23" s="80"/>
      <c r="G23" s="80"/>
      <c r="H23" s="80"/>
      <c r="I23" s="80"/>
      <c r="J23" s="80"/>
      <c r="K23" s="80"/>
      <c r="L23" s="80"/>
      <c r="M23" s="80"/>
      <c r="N23" s="80"/>
      <c r="O23" s="80"/>
    </row>
    <row r="24" spans="1:15" ht="20.149999999999999" x14ac:dyDescent="0.4">
      <c r="A24" s="100"/>
      <c r="B24" s="100"/>
      <c r="C24" s="102"/>
      <c r="D24" s="102"/>
      <c r="E24" s="80"/>
      <c r="F24" s="80"/>
      <c r="G24" s="80"/>
      <c r="H24" s="80"/>
      <c r="I24" s="80"/>
      <c r="J24" s="80"/>
      <c r="K24" s="80"/>
      <c r="L24" s="80"/>
      <c r="M24" s="80"/>
      <c r="N24" s="80"/>
      <c r="O24" s="80"/>
    </row>
    <row r="25" spans="1:15" ht="20.149999999999999" x14ac:dyDescent="0.4">
      <c r="A25" s="100"/>
      <c r="B25" s="100"/>
      <c r="C25" s="102"/>
      <c r="D25" s="102"/>
      <c r="E25" s="80"/>
      <c r="F25" s="80"/>
      <c r="G25" s="80"/>
      <c r="H25" s="80"/>
      <c r="I25" s="80"/>
      <c r="J25" s="80"/>
      <c r="K25" s="80"/>
      <c r="L25" s="80"/>
      <c r="M25" s="80"/>
      <c r="N25" s="80"/>
      <c r="O25" s="80"/>
    </row>
    <row r="26" spans="1:15" ht="20.149999999999999" x14ac:dyDescent="0.4">
      <c r="A26" s="100"/>
      <c r="B26" s="100"/>
      <c r="C26" s="102"/>
      <c r="D26" s="102"/>
      <c r="E26" s="80"/>
      <c r="F26" s="80"/>
      <c r="G26" s="80"/>
      <c r="H26" s="80"/>
      <c r="I26" s="80"/>
      <c r="J26" s="80"/>
      <c r="K26" s="80"/>
      <c r="L26" s="80"/>
      <c r="M26" s="80"/>
      <c r="N26" s="80"/>
      <c r="O26" s="80"/>
    </row>
    <row r="27" spans="1:15" ht="20.149999999999999" x14ac:dyDescent="0.4">
      <c r="A27" s="100"/>
      <c r="B27" s="100"/>
      <c r="C27" s="102"/>
      <c r="D27" s="102"/>
      <c r="E27" s="80"/>
      <c r="F27" s="80"/>
      <c r="G27" s="80"/>
      <c r="H27" s="80"/>
      <c r="I27" s="80"/>
      <c r="J27" s="80"/>
      <c r="K27" s="80"/>
      <c r="L27" s="80"/>
      <c r="M27" s="80"/>
      <c r="N27" s="80"/>
      <c r="O27" s="80"/>
    </row>
    <row r="28" spans="1:15" ht="20.149999999999999" x14ac:dyDescent="0.4">
      <c r="A28" s="100"/>
      <c r="B28" s="100"/>
      <c r="C28" s="102"/>
      <c r="D28" s="102"/>
      <c r="E28" s="80"/>
      <c r="F28" s="80"/>
      <c r="G28" s="80"/>
      <c r="H28" s="80"/>
      <c r="I28" s="80"/>
      <c r="J28" s="80"/>
      <c r="K28" s="80"/>
      <c r="L28" s="80"/>
      <c r="M28" s="80"/>
      <c r="N28" s="80"/>
      <c r="O28" s="80"/>
    </row>
    <row r="29" spans="1:15" ht="20.149999999999999" x14ac:dyDescent="0.4">
      <c r="A29" s="100"/>
      <c r="B29" s="100"/>
      <c r="C29" s="102"/>
      <c r="D29" s="102"/>
      <c r="E29" s="80"/>
      <c r="F29" s="80"/>
      <c r="G29" s="80"/>
      <c r="H29" s="80"/>
      <c r="I29" s="80"/>
      <c r="J29" s="80"/>
      <c r="K29" s="80"/>
      <c r="L29" s="80"/>
      <c r="M29" s="80"/>
      <c r="N29" s="80"/>
      <c r="O29" s="80"/>
    </row>
    <row r="30" spans="1:15" ht="20.149999999999999" x14ac:dyDescent="0.4">
      <c r="A30" s="100"/>
      <c r="B30" s="100"/>
      <c r="C30" s="102"/>
      <c r="D30" s="102"/>
      <c r="E30" s="80"/>
      <c r="F30" s="80"/>
      <c r="G30" s="80"/>
      <c r="H30" s="80"/>
      <c r="I30" s="80"/>
      <c r="J30" s="80"/>
      <c r="K30" s="80"/>
      <c r="L30" s="80"/>
      <c r="M30" s="80"/>
      <c r="N30" s="80"/>
      <c r="O30" s="80"/>
    </row>
    <row r="31" spans="1:15" ht="20.149999999999999" x14ac:dyDescent="0.4">
      <c r="A31" s="100"/>
      <c r="B31" s="100"/>
      <c r="C31" s="102"/>
      <c r="D31" s="102"/>
      <c r="E31" s="80"/>
      <c r="F31" s="80"/>
      <c r="G31" s="80"/>
      <c r="H31" s="80"/>
      <c r="I31" s="80"/>
      <c r="J31" s="80"/>
      <c r="K31" s="80"/>
      <c r="L31" s="80"/>
      <c r="M31" s="80"/>
      <c r="N31" s="80"/>
      <c r="O31" s="80"/>
    </row>
    <row r="32" spans="1:15" ht="20.149999999999999" x14ac:dyDescent="0.4">
      <c r="A32" s="100"/>
      <c r="B32" s="100"/>
      <c r="C32" s="102"/>
      <c r="D32" s="102"/>
      <c r="E32" s="80"/>
      <c r="F32" s="80"/>
      <c r="G32" s="80"/>
      <c r="H32" s="80"/>
      <c r="I32" s="80"/>
      <c r="J32" s="80"/>
      <c r="K32" s="80"/>
      <c r="L32" s="80"/>
      <c r="M32" s="80"/>
      <c r="N32" s="80"/>
      <c r="O32" s="80"/>
    </row>
    <row r="33" spans="1:15" ht="20.149999999999999" x14ac:dyDescent="0.4">
      <c r="A33" s="100"/>
      <c r="B33" s="100"/>
      <c r="C33" s="102"/>
      <c r="D33" s="102"/>
      <c r="E33" s="80"/>
      <c r="F33" s="80"/>
      <c r="G33" s="80"/>
      <c r="H33" s="80"/>
      <c r="I33" s="80"/>
      <c r="J33" s="80"/>
      <c r="K33" s="80"/>
      <c r="L33" s="80"/>
      <c r="M33" s="80"/>
      <c r="N33" s="80"/>
      <c r="O33" s="80"/>
    </row>
    <row r="34" spans="1:15" ht="20.149999999999999" x14ac:dyDescent="0.4">
      <c r="A34" s="100"/>
      <c r="B34" s="100"/>
      <c r="C34" s="102"/>
      <c r="D34" s="102"/>
      <c r="E34" s="80"/>
      <c r="F34" s="80"/>
      <c r="G34" s="80"/>
      <c r="H34" s="80"/>
      <c r="I34" s="80"/>
      <c r="J34" s="80"/>
      <c r="K34" s="80"/>
      <c r="L34" s="80"/>
      <c r="M34" s="80"/>
      <c r="N34" s="80"/>
      <c r="O34" s="80"/>
    </row>
    <row r="35" spans="1:15" ht="20.149999999999999" x14ac:dyDescent="0.4">
      <c r="A35" s="100"/>
      <c r="B35" s="100"/>
      <c r="C35" s="102"/>
      <c r="D35" s="102"/>
      <c r="E35" s="80"/>
      <c r="F35" s="80"/>
      <c r="G35" s="80"/>
      <c r="H35" s="80"/>
      <c r="I35" s="80"/>
      <c r="J35" s="80"/>
      <c r="K35" s="80"/>
      <c r="L35" s="80"/>
      <c r="M35" s="80"/>
      <c r="N35" s="80"/>
      <c r="O35" s="80"/>
    </row>
    <row r="36" spans="1:15" ht="20.149999999999999" x14ac:dyDescent="0.4">
      <c r="A36" s="100"/>
      <c r="B36" s="100"/>
      <c r="C36" s="102"/>
      <c r="D36" s="102"/>
      <c r="E36" s="80"/>
      <c r="F36" s="80"/>
      <c r="G36" s="80"/>
      <c r="H36" s="80"/>
      <c r="I36" s="80"/>
      <c r="J36" s="80"/>
      <c r="K36" s="80"/>
      <c r="L36" s="80"/>
      <c r="M36" s="80"/>
      <c r="N36" s="80"/>
      <c r="O36" s="80"/>
    </row>
    <row r="37" spans="1:15" ht="20.149999999999999" x14ac:dyDescent="0.4">
      <c r="A37" s="100"/>
      <c r="B37" s="100"/>
      <c r="C37" s="102"/>
      <c r="D37" s="102"/>
      <c r="E37" s="80"/>
      <c r="F37" s="80"/>
      <c r="G37" s="80"/>
      <c r="H37" s="80"/>
      <c r="I37" s="80"/>
      <c r="J37" s="80"/>
      <c r="K37" s="80"/>
      <c r="L37" s="80"/>
      <c r="M37" s="80"/>
      <c r="N37" s="80"/>
      <c r="O37" s="80"/>
    </row>
    <row r="38" spans="1:15" ht="20.149999999999999" x14ac:dyDescent="0.4">
      <c r="A38" s="100"/>
      <c r="B38" s="100"/>
      <c r="C38" s="102"/>
      <c r="D38" s="102"/>
      <c r="E38" s="80"/>
      <c r="F38" s="80"/>
      <c r="G38" s="80"/>
      <c r="H38" s="80"/>
      <c r="I38" s="80"/>
      <c r="J38" s="80"/>
      <c r="K38" s="80"/>
      <c r="L38" s="80"/>
      <c r="M38" s="80"/>
      <c r="N38" s="80"/>
      <c r="O38" s="80"/>
    </row>
    <row r="39" spans="1:15" ht="20.149999999999999" x14ac:dyDescent="0.4">
      <c r="A39" s="100"/>
      <c r="B39" s="100"/>
      <c r="C39" s="102"/>
      <c r="D39" s="102"/>
      <c r="E39" s="80"/>
      <c r="F39" s="80"/>
      <c r="G39" s="80"/>
      <c r="H39" s="80"/>
      <c r="I39" s="80"/>
      <c r="J39" s="80"/>
      <c r="K39" s="80"/>
      <c r="L39" s="80"/>
      <c r="M39" s="80"/>
      <c r="N39" s="80"/>
      <c r="O39" s="80"/>
    </row>
    <row r="40" spans="1:15" ht="20.149999999999999" x14ac:dyDescent="0.4">
      <c r="A40" s="100"/>
      <c r="B40" s="100"/>
      <c r="C40" s="102"/>
      <c r="D40" s="102"/>
      <c r="E40" s="80"/>
      <c r="F40" s="80"/>
      <c r="G40" s="80"/>
      <c r="H40" s="80"/>
      <c r="I40" s="80"/>
      <c r="J40" s="80"/>
      <c r="K40" s="80"/>
      <c r="L40" s="80"/>
      <c r="M40" s="80"/>
      <c r="N40" s="80"/>
      <c r="O40" s="80"/>
    </row>
    <row r="41" spans="1:15" ht="20.149999999999999" x14ac:dyDescent="0.4">
      <c r="A41" s="100"/>
      <c r="B41" s="100"/>
      <c r="C41" s="102"/>
      <c r="D41" s="102"/>
      <c r="E41" s="80"/>
      <c r="F41" s="80"/>
      <c r="G41" s="80"/>
      <c r="H41" s="80"/>
      <c r="I41" s="80"/>
      <c r="J41" s="80"/>
      <c r="K41" s="80"/>
      <c r="L41" s="80"/>
      <c r="M41" s="80"/>
      <c r="N41" s="80"/>
      <c r="O41" s="80"/>
    </row>
    <row r="42" spans="1:15" ht="20.149999999999999" x14ac:dyDescent="0.4">
      <c r="A42" s="100"/>
      <c r="B42" s="100"/>
      <c r="C42" s="102"/>
      <c r="D42" s="102"/>
      <c r="E42" s="80"/>
      <c r="F42" s="80"/>
      <c r="G42" s="80"/>
      <c r="H42" s="80"/>
      <c r="I42" s="80"/>
      <c r="J42" s="80"/>
      <c r="K42" s="80"/>
      <c r="L42" s="80"/>
      <c r="M42" s="80"/>
      <c r="N42" s="80"/>
      <c r="O42" s="80"/>
    </row>
    <row r="43" spans="1:15" ht="20.149999999999999" x14ac:dyDescent="0.4">
      <c r="A43" s="100"/>
      <c r="B43" s="100"/>
      <c r="C43" s="102"/>
      <c r="D43" s="102"/>
      <c r="E43" s="80"/>
      <c r="F43" s="80"/>
      <c r="G43" s="80"/>
      <c r="H43" s="80"/>
      <c r="I43" s="80"/>
      <c r="J43" s="80"/>
      <c r="K43" s="80"/>
      <c r="L43" s="80"/>
      <c r="M43" s="80"/>
      <c r="N43" s="80"/>
      <c r="O43" s="80"/>
    </row>
    <row r="44" spans="1:15" ht="20.149999999999999" x14ac:dyDescent="0.4">
      <c r="A44" s="100"/>
      <c r="B44" s="100"/>
      <c r="C44" s="102"/>
      <c r="D44" s="102"/>
      <c r="E44" s="80"/>
      <c r="F44" s="80"/>
      <c r="G44" s="80"/>
      <c r="H44" s="80"/>
      <c r="I44" s="80"/>
      <c r="J44" s="80"/>
      <c r="K44" s="80"/>
      <c r="L44" s="80"/>
      <c r="M44" s="80"/>
      <c r="N44" s="80"/>
      <c r="O44" s="80"/>
    </row>
    <row r="45" spans="1:15" ht="20.149999999999999" x14ac:dyDescent="0.4">
      <c r="A45" s="100"/>
      <c r="B45" s="100"/>
      <c r="C45" s="102"/>
      <c r="D45" s="102"/>
      <c r="E45" s="80"/>
      <c r="F45" s="80"/>
      <c r="G45" s="80"/>
      <c r="H45" s="80"/>
      <c r="I45" s="80"/>
      <c r="J45" s="80"/>
      <c r="K45" s="80"/>
      <c r="L45" s="80"/>
      <c r="M45" s="80"/>
      <c r="N45" s="80"/>
      <c r="O45" s="80"/>
    </row>
    <row r="46" spans="1:15" ht="20.149999999999999" x14ac:dyDescent="0.4">
      <c r="A46" s="100"/>
      <c r="B46" s="100"/>
      <c r="C46" s="102"/>
      <c r="D46" s="102"/>
      <c r="E46" s="80"/>
      <c r="F46" s="80"/>
      <c r="G46" s="80"/>
      <c r="H46" s="80"/>
      <c r="I46" s="80"/>
      <c r="J46" s="80"/>
      <c r="K46" s="80"/>
      <c r="L46" s="80"/>
      <c r="M46" s="80"/>
      <c r="N46" s="80"/>
      <c r="O46" s="80"/>
    </row>
    <row r="47" spans="1:15" ht="20.149999999999999" x14ac:dyDescent="0.4">
      <c r="A47" s="100"/>
      <c r="B47" s="100"/>
      <c r="C47" s="102"/>
      <c r="D47" s="102"/>
      <c r="E47" s="80"/>
      <c r="F47" s="80"/>
      <c r="G47" s="80"/>
      <c r="H47" s="80"/>
      <c r="I47" s="80"/>
      <c r="J47" s="80"/>
      <c r="K47" s="80"/>
      <c r="L47" s="80"/>
      <c r="M47" s="80"/>
      <c r="N47" s="80"/>
      <c r="O47" s="80"/>
    </row>
    <row r="48" spans="1:15" ht="20.149999999999999" x14ac:dyDescent="0.4">
      <c r="A48" s="100"/>
      <c r="B48" s="100"/>
      <c r="C48" s="102"/>
      <c r="D48" s="102"/>
      <c r="E48" s="80"/>
      <c r="F48" s="80"/>
      <c r="G48" s="80"/>
      <c r="H48" s="80"/>
      <c r="I48" s="80"/>
      <c r="J48" s="80"/>
      <c r="K48" s="80"/>
      <c r="L48" s="80"/>
      <c r="M48" s="80"/>
      <c r="N48" s="80"/>
      <c r="O48" s="80"/>
    </row>
    <row r="49" spans="1:15" ht="20.149999999999999" x14ac:dyDescent="0.4">
      <c r="A49" s="100"/>
      <c r="B49" s="100"/>
      <c r="C49" s="102"/>
      <c r="D49" s="102"/>
      <c r="E49" s="80"/>
      <c r="F49" s="80"/>
      <c r="G49" s="80"/>
      <c r="H49" s="80"/>
      <c r="I49" s="80"/>
      <c r="J49" s="80"/>
      <c r="K49" s="80"/>
      <c r="L49" s="80"/>
      <c r="M49" s="80"/>
      <c r="N49" s="80"/>
      <c r="O49" s="80"/>
    </row>
    <row r="50" spans="1:15" ht="20.149999999999999" x14ac:dyDescent="0.4">
      <c r="A50" s="100"/>
      <c r="B50" s="100"/>
      <c r="C50" s="102"/>
      <c r="D50" s="102"/>
      <c r="E50" s="80"/>
      <c r="F50" s="80"/>
      <c r="G50" s="80"/>
      <c r="H50" s="80"/>
      <c r="I50" s="80"/>
      <c r="J50" s="80"/>
      <c r="K50" s="80"/>
      <c r="L50" s="80"/>
      <c r="M50" s="80"/>
      <c r="N50" s="80"/>
      <c r="O50" s="80"/>
    </row>
    <row r="51" spans="1:15" ht="20.149999999999999" x14ac:dyDescent="0.4">
      <c r="A51" s="100"/>
      <c r="B51" s="100"/>
      <c r="C51" s="102"/>
      <c r="D51" s="102"/>
      <c r="E51" s="80"/>
      <c r="F51" s="80"/>
      <c r="G51" s="80"/>
      <c r="H51" s="80"/>
      <c r="I51" s="80"/>
      <c r="J51" s="80"/>
      <c r="K51" s="80"/>
      <c r="L51" s="80"/>
      <c r="M51" s="80"/>
      <c r="N51" s="80"/>
      <c r="O51" s="80"/>
    </row>
    <row r="52" spans="1:15" ht="20.149999999999999" x14ac:dyDescent="0.4">
      <c r="A52" s="100"/>
      <c r="B52" s="20"/>
      <c r="C52" s="30"/>
      <c r="D52" s="30"/>
    </row>
    <row r="53" spans="1:15" ht="20.149999999999999" x14ac:dyDescent="0.4">
      <c r="A53" s="100"/>
      <c r="B53" s="20"/>
      <c r="C53" s="30"/>
      <c r="D53" s="30"/>
    </row>
    <row r="54" spans="1:15" ht="20.149999999999999" x14ac:dyDescent="0.4">
      <c r="A54" s="100"/>
      <c r="B54" s="20"/>
      <c r="C54" s="30"/>
      <c r="D54" s="30"/>
    </row>
    <row r="55" spans="1:15" ht="20.149999999999999" x14ac:dyDescent="0.4">
      <c r="A55" s="100"/>
      <c r="B55" s="20"/>
      <c r="C55" s="30"/>
      <c r="D55" s="30"/>
    </row>
    <row r="56" spans="1:15" ht="20.149999999999999" x14ac:dyDescent="0.4">
      <c r="A56" s="100"/>
      <c r="B56" s="20"/>
      <c r="C56" s="30"/>
      <c r="D56" s="30"/>
    </row>
    <row r="57" spans="1:15" ht="20.149999999999999" x14ac:dyDescent="0.4">
      <c r="A57" s="100"/>
      <c r="B57" s="20"/>
      <c r="C57" s="30"/>
      <c r="D57" s="30"/>
    </row>
    <row r="58" spans="1:15" ht="20.149999999999999" x14ac:dyDescent="0.4">
      <c r="A58" s="100"/>
      <c r="B58" s="20"/>
      <c r="C58" s="30"/>
      <c r="D58" s="30"/>
    </row>
    <row r="59" spans="1:15" ht="20.149999999999999" x14ac:dyDescent="0.4">
      <c r="A59" s="100"/>
      <c r="B59" s="20"/>
      <c r="C59" s="30"/>
      <c r="D59" s="30"/>
    </row>
    <row r="60" spans="1:15" ht="20.149999999999999" x14ac:dyDescent="0.4">
      <c r="A60" s="100"/>
      <c r="B60" s="20"/>
      <c r="C60" s="30"/>
      <c r="D60" s="30"/>
    </row>
    <row r="61" spans="1:15" ht="20.149999999999999" x14ac:dyDescent="0.4">
      <c r="A61" s="100"/>
      <c r="B61" s="20"/>
      <c r="C61" s="30"/>
      <c r="D61" s="30"/>
    </row>
    <row r="62" spans="1:15" ht="20.149999999999999" x14ac:dyDescent="0.4">
      <c r="A62" s="100"/>
      <c r="B62" s="20"/>
      <c r="C62" s="30"/>
      <c r="D62" s="30"/>
    </row>
    <row r="63" spans="1:15" ht="20.149999999999999" x14ac:dyDescent="0.4">
      <c r="A63" s="100"/>
      <c r="B63" s="20"/>
      <c r="C63" s="30"/>
      <c r="D63" s="30"/>
    </row>
    <row r="64" spans="1:15" ht="20.149999999999999" x14ac:dyDescent="0.4">
      <c r="A64" s="100"/>
      <c r="B64" s="20"/>
      <c r="C64" s="30"/>
      <c r="D64" s="30"/>
    </row>
    <row r="65" spans="1:4" ht="20.149999999999999" x14ac:dyDescent="0.4">
      <c r="A65" s="100"/>
      <c r="B65" s="20"/>
      <c r="C65" s="30"/>
      <c r="D65" s="30"/>
    </row>
    <row r="66" spans="1:4" ht="20.149999999999999" x14ac:dyDescent="0.4">
      <c r="A66" s="100"/>
      <c r="B66" s="20"/>
      <c r="C66" s="30"/>
      <c r="D66" s="30"/>
    </row>
    <row r="67" spans="1:4" ht="20.149999999999999" x14ac:dyDescent="0.4">
      <c r="A67" s="100"/>
      <c r="B67" s="20"/>
      <c r="C67" s="30"/>
      <c r="D67" s="30"/>
    </row>
    <row r="68" spans="1:4" ht="20.149999999999999" x14ac:dyDescent="0.4">
      <c r="A68" s="100"/>
      <c r="B68" s="20"/>
      <c r="C68" s="30"/>
      <c r="D68" s="30"/>
    </row>
    <row r="69" spans="1:4" ht="20.149999999999999" x14ac:dyDescent="0.4">
      <c r="A69" s="100"/>
      <c r="B69" s="20"/>
      <c r="C69" s="30"/>
      <c r="D69" s="30"/>
    </row>
    <row r="70" spans="1:4" ht="20.149999999999999" x14ac:dyDescent="0.4">
      <c r="A70" s="100"/>
      <c r="B70" s="20"/>
      <c r="C70" s="30"/>
      <c r="D70" s="30"/>
    </row>
    <row r="71" spans="1:4" ht="20.149999999999999" x14ac:dyDescent="0.4">
      <c r="A71" s="100"/>
      <c r="B71" s="20"/>
      <c r="C71" s="30"/>
      <c r="D71" s="30"/>
    </row>
    <row r="72" spans="1:4" ht="20.149999999999999" x14ac:dyDescent="0.4">
      <c r="A72" s="100"/>
      <c r="B72" s="20"/>
      <c r="C72" s="30"/>
      <c r="D72" s="30"/>
    </row>
    <row r="73" spans="1:4" ht="20.149999999999999" x14ac:dyDescent="0.4">
      <c r="A73" s="100"/>
      <c r="B73" s="20"/>
      <c r="C73" s="30"/>
      <c r="D73" s="30"/>
    </row>
    <row r="74" spans="1:4" ht="20.149999999999999" x14ac:dyDescent="0.4">
      <c r="A74" s="100"/>
      <c r="B74" s="20"/>
      <c r="C74" s="30"/>
      <c r="D74" s="30"/>
    </row>
    <row r="75" spans="1:4" ht="20.149999999999999" x14ac:dyDescent="0.4">
      <c r="A75" s="100"/>
      <c r="B75" s="20"/>
      <c r="C75" s="30"/>
      <c r="D75" s="30"/>
    </row>
    <row r="76" spans="1:4" ht="20.149999999999999" x14ac:dyDescent="0.4">
      <c r="A76" s="100"/>
      <c r="B76" s="20"/>
      <c r="C76" s="30"/>
      <c r="D76" s="30"/>
    </row>
    <row r="77" spans="1:4" ht="20.149999999999999" x14ac:dyDescent="0.4">
      <c r="A77" s="100"/>
      <c r="B77" s="20"/>
      <c r="C77" s="30"/>
      <c r="D77" s="30"/>
    </row>
    <row r="78" spans="1:4" ht="20.149999999999999" x14ac:dyDescent="0.4">
      <c r="A78" s="100"/>
      <c r="B78" s="20"/>
      <c r="C78" s="30"/>
      <c r="D78" s="30"/>
    </row>
    <row r="79" spans="1:4" ht="20.149999999999999" x14ac:dyDescent="0.4">
      <c r="A79" s="100"/>
      <c r="B79" s="20"/>
      <c r="C79" s="30"/>
      <c r="D79" s="30"/>
    </row>
    <row r="80" spans="1:4" ht="20.149999999999999" x14ac:dyDescent="0.4">
      <c r="A80" s="100"/>
      <c r="B80" s="20"/>
      <c r="C80" s="30"/>
      <c r="D80" s="30"/>
    </row>
    <row r="81" spans="1:4" ht="20.149999999999999" x14ac:dyDescent="0.4">
      <c r="A81" s="100"/>
      <c r="B81" s="20"/>
      <c r="C81" s="30"/>
      <c r="D81" s="30"/>
    </row>
    <row r="82" spans="1:4" ht="20.149999999999999" x14ac:dyDescent="0.4">
      <c r="A82" s="100"/>
      <c r="B82" s="20"/>
      <c r="C82" s="30"/>
      <c r="D82" s="30"/>
    </row>
    <row r="83" spans="1:4" ht="20.149999999999999" x14ac:dyDescent="0.4">
      <c r="A83" s="100"/>
      <c r="B83" s="20"/>
      <c r="C83" s="30"/>
      <c r="D83" s="30"/>
    </row>
    <row r="84" spans="1:4" ht="20.149999999999999" x14ac:dyDescent="0.4">
      <c r="A84" s="100"/>
      <c r="B84" s="20"/>
      <c r="C84" s="30"/>
      <c r="D84" s="30"/>
    </row>
    <row r="85" spans="1:4" ht="20.149999999999999" x14ac:dyDescent="0.4">
      <c r="A85" s="100"/>
      <c r="B85" s="20"/>
      <c r="C85" s="30"/>
      <c r="D85" s="30"/>
    </row>
    <row r="86" spans="1:4" ht="20.149999999999999" x14ac:dyDescent="0.4">
      <c r="A86" s="100"/>
      <c r="B86" s="20"/>
      <c r="C86" s="30"/>
      <c r="D86" s="30"/>
    </row>
    <row r="87" spans="1:4" ht="20.149999999999999" x14ac:dyDescent="0.4">
      <c r="A87" s="100"/>
      <c r="B87" s="20"/>
      <c r="C87" s="30"/>
      <c r="D87" s="30"/>
    </row>
    <row r="88" spans="1:4" ht="20.149999999999999" x14ac:dyDescent="0.4">
      <c r="A88" s="100"/>
      <c r="B88" s="20"/>
      <c r="C88" s="30"/>
      <c r="D88" s="30"/>
    </row>
    <row r="89" spans="1:4" ht="20.149999999999999" x14ac:dyDescent="0.4">
      <c r="A89" s="100"/>
      <c r="B89" s="20"/>
      <c r="C89" s="30"/>
      <c r="D89" s="30"/>
    </row>
    <row r="90" spans="1:4" ht="20.149999999999999" x14ac:dyDescent="0.4">
      <c r="A90" s="100"/>
      <c r="B90" s="20"/>
      <c r="C90" s="30"/>
      <c r="D90" s="30"/>
    </row>
    <row r="91" spans="1:4" ht="20.149999999999999" x14ac:dyDescent="0.4">
      <c r="A91" s="100"/>
      <c r="B91" s="20"/>
      <c r="C91" s="30"/>
      <c r="D91" s="30"/>
    </row>
    <row r="92" spans="1:4" ht="20.149999999999999" x14ac:dyDescent="0.4">
      <c r="A92" s="100"/>
      <c r="B92" s="20"/>
      <c r="C92" s="30"/>
      <c r="D92" s="30"/>
    </row>
    <row r="93" spans="1:4" ht="20.149999999999999" x14ac:dyDescent="0.4">
      <c r="A93" s="100"/>
      <c r="B93" s="20"/>
      <c r="C93" s="30"/>
      <c r="D93" s="30"/>
    </row>
    <row r="94" spans="1:4" ht="20.149999999999999" x14ac:dyDescent="0.4">
      <c r="A94" s="100"/>
      <c r="B94" s="20"/>
      <c r="C94" s="30"/>
      <c r="D94" s="30"/>
    </row>
    <row r="95" spans="1:4" ht="20.149999999999999" x14ac:dyDescent="0.4">
      <c r="A95" s="100"/>
      <c r="B95" s="20"/>
      <c r="C95" s="30"/>
      <c r="D95" s="30"/>
    </row>
    <row r="96" spans="1:4" ht="20.149999999999999" x14ac:dyDescent="0.4">
      <c r="A96" s="100"/>
      <c r="B96" s="20"/>
      <c r="C96" s="30"/>
      <c r="D96" s="30"/>
    </row>
    <row r="97" spans="1:4" ht="20.149999999999999" x14ac:dyDescent="0.4">
      <c r="A97" s="100"/>
      <c r="B97" s="20"/>
      <c r="C97" s="30"/>
      <c r="D97" s="30"/>
    </row>
    <row r="98" spans="1:4" ht="20.149999999999999" x14ac:dyDescent="0.4">
      <c r="A98" s="100"/>
      <c r="B98" s="20"/>
      <c r="C98" s="30"/>
      <c r="D98" s="30"/>
    </row>
    <row r="99" spans="1:4" ht="20.149999999999999" x14ac:dyDescent="0.4">
      <c r="A99" s="100"/>
      <c r="B99" s="20"/>
      <c r="C99" s="30"/>
      <c r="D99" s="30"/>
    </row>
    <row r="100" spans="1:4" ht="20.149999999999999" x14ac:dyDescent="0.4">
      <c r="A100" s="100"/>
      <c r="B100" s="20"/>
      <c r="C100" s="30"/>
      <c r="D100" s="30"/>
    </row>
    <row r="101" spans="1:4" ht="20.149999999999999" x14ac:dyDescent="0.4">
      <c r="A101" s="100"/>
      <c r="B101" s="20"/>
      <c r="C101" s="30"/>
      <c r="D101" s="30"/>
    </row>
    <row r="102" spans="1:4" ht="20.149999999999999" x14ac:dyDescent="0.4">
      <c r="A102" s="100"/>
      <c r="B102" s="20"/>
      <c r="C102" s="30"/>
      <c r="D102" s="30"/>
    </row>
    <row r="103" spans="1:4" ht="20.149999999999999" x14ac:dyDescent="0.4">
      <c r="A103" s="100"/>
      <c r="B103" s="20"/>
      <c r="C103" s="30"/>
      <c r="D103" s="30"/>
    </row>
    <row r="104" spans="1:4" ht="20.149999999999999" x14ac:dyDescent="0.4">
      <c r="A104" s="100"/>
      <c r="B104" s="20"/>
      <c r="C104" s="30"/>
      <c r="D104" s="30"/>
    </row>
    <row r="105" spans="1:4" ht="20.149999999999999" x14ac:dyDescent="0.4">
      <c r="A105" s="100"/>
      <c r="B105" s="20"/>
      <c r="C105" s="30"/>
      <c r="D105" s="30"/>
    </row>
    <row r="106" spans="1:4" ht="20.149999999999999" x14ac:dyDescent="0.4">
      <c r="A106" s="100"/>
      <c r="B106" s="20"/>
      <c r="C106" s="30"/>
      <c r="D106" s="30"/>
    </row>
    <row r="107" spans="1:4" ht="20.149999999999999" x14ac:dyDescent="0.4">
      <c r="A107" s="100"/>
      <c r="B107" s="20"/>
      <c r="C107" s="30"/>
      <c r="D107" s="30"/>
    </row>
    <row r="108" spans="1:4" ht="20.149999999999999" x14ac:dyDescent="0.4">
      <c r="A108" s="100"/>
      <c r="B108" s="20"/>
      <c r="C108" s="30"/>
      <c r="D108" s="30"/>
    </row>
    <row r="109" spans="1:4" ht="20.149999999999999" x14ac:dyDescent="0.4">
      <c r="A109" s="100"/>
      <c r="B109" s="20"/>
      <c r="C109" s="30"/>
      <c r="D109" s="30"/>
    </row>
    <row r="110" spans="1:4" ht="20.149999999999999" x14ac:dyDescent="0.4">
      <c r="A110" s="100"/>
      <c r="B110" s="20"/>
      <c r="C110" s="30"/>
      <c r="D110" s="30"/>
    </row>
    <row r="111" spans="1:4" ht="20.149999999999999" x14ac:dyDescent="0.4">
      <c r="A111" s="100"/>
      <c r="B111" s="20"/>
      <c r="C111" s="30"/>
      <c r="D111" s="30"/>
    </row>
    <row r="112" spans="1:4" ht="20.149999999999999" x14ac:dyDescent="0.4">
      <c r="A112" s="100"/>
      <c r="B112" s="20"/>
      <c r="C112" s="30"/>
      <c r="D112" s="30"/>
    </row>
    <row r="113" spans="1:4" ht="20.149999999999999" x14ac:dyDescent="0.4">
      <c r="A113" s="100"/>
      <c r="B113" s="20"/>
      <c r="C113" s="30"/>
      <c r="D113" s="30"/>
    </row>
    <row r="114" spans="1:4" ht="20.149999999999999" x14ac:dyDescent="0.4">
      <c r="A114" s="100"/>
      <c r="B114" s="20"/>
      <c r="C114" s="30"/>
      <c r="D114" s="30"/>
    </row>
    <row r="115" spans="1:4" ht="20.149999999999999" x14ac:dyDescent="0.4">
      <c r="A115" s="100"/>
      <c r="B115" s="20"/>
      <c r="C115" s="30"/>
      <c r="D115" s="30"/>
    </row>
    <row r="116" spans="1:4" ht="20.149999999999999" x14ac:dyDescent="0.4">
      <c r="A116" s="100"/>
      <c r="B116" s="20"/>
      <c r="C116" s="30"/>
      <c r="D116" s="30"/>
    </row>
    <row r="117" spans="1:4" ht="20.149999999999999" x14ac:dyDescent="0.4">
      <c r="A117" s="100"/>
      <c r="B117" s="20"/>
      <c r="C117" s="30"/>
      <c r="D117" s="30"/>
    </row>
    <row r="118" spans="1:4" ht="20.149999999999999" x14ac:dyDescent="0.4">
      <c r="A118" s="100"/>
      <c r="B118" s="20"/>
      <c r="C118" s="30"/>
      <c r="D118" s="30"/>
    </row>
    <row r="119" spans="1:4" ht="20.149999999999999" x14ac:dyDescent="0.4">
      <c r="A119" s="100"/>
      <c r="B119" s="20"/>
      <c r="C119" s="30"/>
      <c r="D119" s="30"/>
    </row>
    <row r="120" spans="1:4" ht="20.149999999999999" x14ac:dyDescent="0.4">
      <c r="A120" s="100"/>
      <c r="B120" s="20"/>
      <c r="C120" s="30"/>
      <c r="D120" s="30"/>
    </row>
    <row r="121" spans="1:4" ht="20.149999999999999" x14ac:dyDescent="0.4">
      <c r="A121" s="100"/>
      <c r="B121" s="20"/>
      <c r="C121" s="30"/>
      <c r="D121" s="30"/>
    </row>
    <row r="122" spans="1:4" ht="20.149999999999999" x14ac:dyDescent="0.4">
      <c r="A122" s="100"/>
      <c r="B122" s="20"/>
      <c r="C122" s="30"/>
      <c r="D122" s="30"/>
    </row>
    <row r="123" spans="1:4" ht="20.149999999999999" x14ac:dyDescent="0.4">
      <c r="A123" s="100"/>
      <c r="B123" s="20"/>
      <c r="C123" s="30"/>
      <c r="D123" s="30"/>
    </row>
    <row r="124" spans="1:4" ht="20.149999999999999" x14ac:dyDescent="0.4">
      <c r="A124" s="100"/>
      <c r="B124" s="20"/>
      <c r="C124" s="30"/>
      <c r="D124" s="30"/>
    </row>
    <row r="125" spans="1:4" ht="20.149999999999999" x14ac:dyDescent="0.4">
      <c r="A125" s="100"/>
      <c r="B125" s="20"/>
      <c r="C125" s="30"/>
      <c r="D125" s="30"/>
    </row>
    <row r="126" spans="1:4" ht="20.149999999999999" x14ac:dyDescent="0.4">
      <c r="A126" s="100"/>
      <c r="B126" s="20"/>
      <c r="C126" s="30"/>
      <c r="D126" s="30"/>
    </row>
    <row r="127" spans="1:4" ht="20.149999999999999" x14ac:dyDescent="0.4">
      <c r="A127" s="100"/>
      <c r="B127" s="20"/>
      <c r="C127" s="30"/>
      <c r="D127" s="30"/>
    </row>
    <row r="128" spans="1:4" ht="20.149999999999999" x14ac:dyDescent="0.4">
      <c r="A128" s="100"/>
      <c r="B128" s="20"/>
      <c r="C128" s="30"/>
      <c r="D128" s="30"/>
    </row>
    <row r="129" spans="1:4" ht="20.149999999999999" x14ac:dyDescent="0.4">
      <c r="A129" s="100"/>
      <c r="B129" s="20"/>
      <c r="C129" s="30"/>
      <c r="D129" s="30"/>
    </row>
    <row r="130" spans="1:4" ht="20.149999999999999" x14ac:dyDescent="0.4">
      <c r="A130" s="100"/>
      <c r="B130" s="20"/>
      <c r="C130" s="30"/>
      <c r="D130" s="30"/>
    </row>
    <row r="131" spans="1:4" ht="20.149999999999999" x14ac:dyDescent="0.4">
      <c r="A131" s="100"/>
      <c r="B131" s="20"/>
      <c r="C131" s="30"/>
      <c r="D131" s="30"/>
    </row>
    <row r="132" spans="1:4" ht="20.149999999999999" x14ac:dyDescent="0.4">
      <c r="A132" s="100"/>
      <c r="B132" s="20"/>
      <c r="C132" s="30"/>
      <c r="D132" s="30"/>
    </row>
    <row r="133" spans="1:4" ht="20.149999999999999" x14ac:dyDescent="0.4">
      <c r="A133" s="100"/>
      <c r="B133" s="20"/>
      <c r="C133" s="30"/>
      <c r="D133" s="30"/>
    </row>
    <row r="134" spans="1:4" ht="20.149999999999999" x14ac:dyDescent="0.4">
      <c r="A134" s="100"/>
      <c r="B134" s="20"/>
      <c r="C134" s="30"/>
      <c r="D134" s="30"/>
    </row>
    <row r="135" spans="1:4" ht="20.149999999999999" x14ac:dyDescent="0.4">
      <c r="A135" s="100"/>
      <c r="B135" s="20"/>
      <c r="C135" s="30"/>
      <c r="D135" s="30"/>
    </row>
    <row r="136" spans="1:4" ht="20.149999999999999" x14ac:dyDescent="0.4">
      <c r="A136" s="100"/>
      <c r="B136" s="20"/>
      <c r="C136" s="30"/>
      <c r="D136" s="30"/>
    </row>
    <row r="137" spans="1:4" ht="20.149999999999999" x14ac:dyDescent="0.4">
      <c r="A137" s="100"/>
      <c r="B137" s="20"/>
      <c r="C137" s="30"/>
      <c r="D137" s="30"/>
    </row>
    <row r="138" spans="1:4" ht="20.149999999999999" x14ac:dyDescent="0.4">
      <c r="A138" s="100"/>
      <c r="B138" s="20"/>
      <c r="C138" s="30"/>
      <c r="D138" s="30"/>
    </row>
    <row r="139" spans="1:4" ht="20.149999999999999" x14ac:dyDescent="0.4">
      <c r="A139" s="100"/>
      <c r="B139" s="20"/>
      <c r="C139" s="30"/>
      <c r="D139" s="30"/>
    </row>
    <row r="140" spans="1:4" ht="20.149999999999999" x14ac:dyDescent="0.4">
      <c r="A140" s="100"/>
      <c r="B140" s="20"/>
      <c r="C140" s="30"/>
      <c r="D140" s="30"/>
    </row>
    <row r="141" spans="1:4" ht="20.149999999999999" x14ac:dyDescent="0.4">
      <c r="A141" s="100"/>
      <c r="B141" s="20"/>
      <c r="C141" s="30"/>
      <c r="D141" s="30"/>
    </row>
    <row r="142" spans="1:4" ht="20.149999999999999" x14ac:dyDescent="0.4">
      <c r="A142" s="100"/>
      <c r="B142" s="20"/>
      <c r="C142" s="30"/>
      <c r="D142" s="30"/>
    </row>
    <row r="143" spans="1:4" ht="20.149999999999999" x14ac:dyDescent="0.4">
      <c r="A143" s="100"/>
      <c r="B143" s="20"/>
      <c r="C143" s="30"/>
      <c r="D143" s="30"/>
    </row>
    <row r="144" spans="1:4" ht="20.149999999999999" x14ac:dyDescent="0.4">
      <c r="A144" s="100"/>
      <c r="B144" s="20"/>
      <c r="C144" s="30"/>
      <c r="D144" s="30"/>
    </row>
    <row r="145" spans="1:4" ht="20.149999999999999" x14ac:dyDescent="0.4">
      <c r="A145" s="100"/>
      <c r="B145" s="20"/>
      <c r="C145" s="30"/>
      <c r="D145" s="30"/>
    </row>
    <row r="146" spans="1:4" ht="20.149999999999999" x14ac:dyDescent="0.4">
      <c r="A146" s="100"/>
      <c r="B146" s="20"/>
      <c r="C146" s="30"/>
      <c r="D146" s="30"/>
    </row>
    <row r="147" spans="1:4" ht="20.149999999999999" x14ac:dyDescent="0.4">
      <c r="A147" s="100"/>
      <c r="B147" s="20"/>
      <c r="C147" s="30"/>
      <c r="D147" s="30"/>
    </row>
    <row r="148" spans="1:4" ht="20.149999999999999" x14ac:dyDescent="0.4">
      <c r="A148" s="100"/>
      <c r="B148" s="20"/>
      <c r="C148" s="30"/>
      <c r="D148" s="30"/>
    </row>
    <row r="149" spans="1:4" ht="20.149999999999999" x14ac:dyDescent="0.4">
      <c r="A149" s="100"/>
      <c r="B149" s="20"/>
      <c r="C149" s="30"/>
      <c r="D149" s="30"/>
    </row>
    <row r="150" spans="1:4" ht="20.149999999999999" x14ac:dyDescent="0.4">
      <c r="A150" s="100"/>
      <c r="B150" s="20"/>
      <c r="C150" s="30"/>
      <c r="D150" s="30"/>
    </row>
    <row r="151" spans="1:4" ht="20.149999999999999" x14ac:dyDescent="0.4">
      <c r="A151" s="100"/>
      <c r="B151" s="20"/>
      <c r="C151" s="30"/>
      <c r="D151" s="30"/>
    </row>
    <row r="152" spans="1:4" ht="20.149999999999999" x14ac:dyDescent="0.4">
      <c r="A152" s="100"/>
      <c r="B152" s="20"/>
      <c r="C152" s="30"/>
      <c r="D152" s="30"/>
    </row>
    <row r="153" spans="1:4" ht="20.149999999999999" x14ac:dyDescent="0.4">
      <c r="A153" s="100"/>
      <c r="B153" s="20"/>
      <c r="C153" s="30"/>
      <c r="D153" s="30"/>
    </row>
    <row r="154" spans="1:4" ht="20.149999999999999" x14ac:dyDescent="0.4">
      <c r="A154" s="100"/>
      <c r="B154" s="20"/>
      <c r="C154" s="30"/>
      <c r="D154" s="30"/>
    </row>
    <row r="155" spans="1:4" ht="20.149999999999999" x14ac:dyDescent="0.4">
      <c r="A155" s="100"/>
      <c r="B155" s="20"/>
      <c r="C155" s="30"/>
      <c r="D155" s="30"/>
    </row>
    <row r="156" spans="1:4" ht="20.149999999999999" x14ac:dyDescent="0.4">
      <c r="A156" s="100"/>
      <c r="B156" s="20"/>
      <c r="C156" s="30"/>
      <c r="D156" s="30"/>
    </row>
    <row r="157" spans="1:4" ht="20.149999999999999" x14ac:dyDescent="0.4">
      <c r="A157" s="100"/>
      <c r="B157" s="20"/>
      <c r="C157" s="30"/>
      <c r="D157" s="30"/>
    </row>
    <row r="158" spans="1:4" ht="20.149999999999999" x14ac:dyDescent="0.4">
      <c r="A158" s="100"/>
      <c r="B158" s="20"/>
      <c r="C158" s="30"/>
      <c r="D158" s="30"/>
    </row>
    <row r="159" spans="1:4" ht="20.149999999999999" x14ac:dyDescent="0.4">
      <c r="A159" s="100"/>
      <c r="B159" s="20"/>
      <c r="C159" s="30"/>
      <c r="D159" s="30"/>
    </row>
    <row r="160" spans="1:4" ht="20.149999999999999" x14ac:dyDescent="0.4">
      <c r="A160" s="100"/>
      <c r="B160" s="20"/>
      <c r="C160" s="30"/>
      <c r="D160" s="30"/>
    </row>
    <row r="161" spans="1:4" ht="20.149999999999999" x14ac:dyDescent="0.4">
      <c r="A161" s="100"/>
      <c r="B161" s="20"/>
      <c r="C161" s="30"/>
      <c r="D161" s="30"/>
    </row>
    <row r="162" spans="1:4" ht="20.149999999999999" x14ac:dyDescent="0.4">
      <c r="A162" s="100"/>
      <c r="B162" s="20"/>
      <c r="C162" s="30"/>
      <c r="D162" s="30"/>
    </row>
    <row r="163" spans="1:4" ht="20.149999999999999" x14ac:dyDescent="0.4">
      <c r="A163" s="100"/>
      <c r="B163" s="20"/>
      <c r="C163" s="30"/>
      <c r="D163" s="30"/>
    </row>
    <row r="164" spans="1:4" ht="20.149999999999999" x14ac:dyDescent="0.4">
      <c r="A164" s="100"/>
      <c r="B164" s="20"/>
      <c r="C164" s="30"/>
      <c r="D164" s="30"/>
    </row>
    <row r="165" spans="1:4" ht="20.149999999999999" x14ac:dyDescent="0.4">
      <c r="A165" s="100"/>
      <c r="B165" s="20"/>
      <c r="C165" s="30"/>
      <c r="D165" s="30"/>
    </row>
    <row r="166" spans="1:4" ht="20.149999999999999" x14ac:dyDescent="0.4">
      <c r="A166" s="100"/>
      <c r="B166" s="20"/>
      <c r="C166" s="30"/>
      <c r="D166" s="30"/>
    </row>
    <row r="167" spans="1:4" ht="20.149999999999999" x14ac:dyDescent="0.4">
      <c r="A167" s="100"/>
      <c r="B167" s="20"/>
      <c r="C167" s="30"/>
      <c r="D167" s="30"/>
    </row>
    <row r="168" spans="1:4" ht="20.149999999999999" x14ac:dyDescent="0.4">
      <c r="A168" s="100"/>
      <c r="B168" s="20"/>
      <c r="C168" s="30"/>
      <c r="D168" s="30"/>
    </row>
    <row r="169" spans="1:4" ht="20.149999999999999" x14ac:dyDescent="0.4">
      <c r="A169" s="100"/>
      <c r="B169" s="20"/>
      <c r="C169" s="30"/>
      <c r="D169" s="30"/>
    </row>
    <row r="170" spans="1:4" ht="20.149999999999999" x14ac:dyDescent="0.4">
      <c r="A170" s="100"/>
      <c r="B170" s="20"/>
      <c r="C170" s="30"/>
      <c r="D170" s="30"/>
    </row>
    <row r="171" spans="1:4" ht="20.149999999999999" x14ac:dyDescent="0.4">
      <c r="A171" s="100"/>
      <c r="B171" s="20"/>
      <c r="C171" s="30"/>
      <c r="D171" s="30"/>
    </row>
    <row r="172" spans="1:4" ht="20.149999999999999" x14ac:dyDescent="0.4">
      <c r="A172" s="100"/>
      <c r="B172" s="20"/>
      <c r="C172" s="30"/>
      <c r="D172" s="30"/>
    </row>
    <row r="173" spans="1:4" ht="20.149999999999999" x14ac:dyDescent="0.4">
      <c r="A173" s="100"/>
      <c r="B173" s="20"/>
      <c r="C173" s="30"/>
      <c r="D173" s="30"/>
    </row>
    <row r="174" spans="1:4" ht="20.149999999999999" x14ac:dyDescent="0.4">
      <c r="A174" s="100"/>
      <c r="B174" s="20"/>
      <c r="C174" s="30"/>
      <c r="D174" s="30"/>
    </row>
    <row r="175" spans="1:4" ht="20.149999999999999" x14ac:dyDescent="0.4">
      <c r="A175" s="100"/>
      <c r="B175" s="20"/>
      <c r="C175" s="30"/>
      <c r="D175" s="30"/>
    </row>
    <row r="176" spans="1:4" ht="20.149999999999999" x14ac:dyDescent="0.4">
      <c r="A176" s="100"/>
      <c r="B176" s="20"/>
      <c r="C176" s="30"/>
      <c r="D176" s="30"/>
    </row>
    <row r="177" spans="1:4" ht="20.149999999999999" x14ac:dyDescent="0.4">
      <c r="A177" s="100"/>
      <c r="B177" s="20"/>
      <c r="C177" s="30"/>
      <c r="D177" s="30"/>
    </row>
    <row r="178" spans="1:4" ht="20.149999999999999" x14ac:dyDescent="0.4">
      <c r="A178" s="100"/>
      <c r="B178" s="20"/>
      <c r="C178" s="30"/>
      <c r="D178" s="30"/>
    </row>
    <row r="179" spans="1:4" ht="20.149999999999999" x14ac:dyDescent="0.4">
      <c r="A179" s="100"/>
      <c r="B179" s="20"/>
      <c r="C179" s="30"/>
      <c r="D179" s="30"/>
    </row>
    <row r="180" spans="1:4" ht="20.149999999999999" x14ac:dyDescent="0.4">
      <c r="A180" s="100"/>
      <c r="B180" s="20"/>
      <c r="C180" s="30"/>
      <c r="D180" s="30"/>
    </row>
    <row r="181" spans="1:4" ht="20.149999999999999" x14ac:dyDescent="0.4">
      <c r="A181" s="100"/>
      <c r="B181" s="20"/>
      <c r="C181" s="30"/>
      <c r="D181" s="30"/>
    </row>
    <row r="182" spans="1:4" ht="20.149999999999999" x14ac:dyDescent="0.4">
      <c r="A182" s="100"/>
      <c r="B182" s="20"/>
      <c r="C182" s="30"/>
      <c r="D182" s="30"/>
    </row>
    <row r="183" spans="1:4" ht="20.149999999999999" x14ac:dyDescent="0.4">
      <c r="A183" s="100"/>
      <c r="B183" s="20"/>
      <c r="C183" s="30"/>
      <c r="D183" s="30"/>
    </row>
    <row r="184" spans="1:4" ht="20.149999999999999" x14ac:dyDescent="0.4">
      <c r="A184" s="100"/>
      <c r="B184" s="20"/>
      <c r="C184" s="30"/>
      <c r="D184" s="30"/>
    </row>
    <row r="185" spans="1:4" ht="20.149999999999999" x14ac:dyDescent="0.4">
      <c r="A185" s="100"/>
      <c r="B185" s="20"/>
      <c r="C185" s="30"/>
      <c r="D185" s="30"/>
    </row>
    <row r="186" spans="1:4" ht="20.149999999999999" x14ac:dyDescent="0.4">
      <c r="A186" s="100"/>
      <c r="B186" s="20"/>
      <c r="C186" s="30"/>
      <c r="D186" s="30"/>
    </row>
    <row r="187" spans="1:4" ht="20.149999999999999" x14ac:dyDescent="0.4">
      <c r="A187" s="100"/>
      <c r="B187" s="20"/>
      <c r="C187" s="30"/>
      <c r="D187" s="30"/>
    </row>
    <row r="188" spans="1:4" ht="20.149999999999999" x14ac:dyDescent="0.4">
      <c r="A188" s="100"/>
      <c r="B188" s="20"/>
      <c r="C188" s="30"/>
      <c r="D188" s="30"/>
    </row>
    <row r="189" spans="1:4" ht="20.149999999999999" x14ac:dyDescent="0.4">
      <c r="A189" s="100"/>
      <c r="B189" s="20"/>
      <c r="C189" s="30"/>
      <c r="D189" s="30"/>
    </row>
    <row r="190" spans="1:4" ht="20.149999999999999" x14ac:dyDescent="0.4">
      <c r="A190" s="100"/>
      <c r="B190" s="20"/>
      <c r="C190" s="30"/>
      <c r="D190" s="30"/>
    </row>
    <row r="191" spans="1:4" ht="20.149999999999999" x14ac:dyDescent="0.4">
      <c r="A191" s="100"/>
      <c r="B191" s="20"/>
      <c r="C191" s="30"/>
      <c r="D191" s="30"/>
    </row>
    <row r="192" spans="1:4" ht="20.149999999999999" x14ac:dyDescent="0.4">
      <c r="A192" s="100"/>
      <c r="B192" s="20"/>
      <c r="C192" s="30"/>
      <c r="D192" s="30"/>
    </row>
    <row r="193" spans="1:4" ht="20.149999999999999" x14ac:dyDescent="0.4">
      <c r="A193" s="100"/>
      <c r="B193" s="20"/>
      <c r="C193" s="30"/>
      <c r="D193" s="30"/>
    </row>
    <row r="194" spans="1:4" ht="20.149999999999999" x14ac:dyDescent="0.4">
      <c r="A194" s="100"/>
      <c r="B194" s="20"/>
      <c r="C194" s="30"/>
      <c r="D194" s="30"/>
    </row>
    <row r="195" spans="1:4" ht="20.149999999999999" x14ac:dyDescent="0.4">
      <c r="A195" s="100"/>
      <c r="B195" s="20"/>
      <c r="C195" s="30"/>
      <c r="D195" s="30"/>
    </row>
    <row r="196" spans="1:4" ht="20.149999999999999" x14ac:dyDescent="0.4">
      <c r="A196" s="100"/>
      <c r="B196" s="20"/>
      <c r="C196" s="30"/>
      <c r="D196" s="30"/>
    </row>
    <row r="197" spans="1:4" ht="20.149999999999999" x14ac:dyDescent="0.4">
      <c r="A197" s="100"/>
      <c r="B197" s="20"/>
      <c r="C197" s="30"/>
      <c r="D197" s="30"/>
    </row>
    <row r="198" spans="1:4" ht="20.149999999999999" x14ac:dyDescent="0.4">
      <c r="A198" s="100"/>
      <c r="B198" s="20"/>
      <c r="C198" s="30"/>
      <c r="D198" s="30"/>
    </row>
    <row r="199" spans="1:4" ht="20.149999999999999" x14ac:dyDescent="0.4">
      <c r="A199" s="100"/>
      <c r="B199" s="20"/>
      <c r="C199" s="30"/>
      <c r="D199" s="30"/>
    </row>
    <row r="200" spans="1:4" ht="20.149999999999999" x14ac:dyDescent="0.4">
      <c r="A200" s="100"/>
      <c r="B200" s="20"/>
      <c r="C200" s="30"/>
      <c r="D200" s="30"/>
    </row>
    <row r="201" spans="1:4" ht="20.149999999999999" x14ac:dyDescent="0.4">
      <c r="A201" s="100"/>
      <c r="B201" s="20"/>
      <c r="C201" s="30"/>
      <c r="D201" s="30"/>
    </row>
    <row r="202" spans="1:4" ht="20.149999999999999" x14ac:dyDescent="0.4">
      <c r="A202" s="100"/>
      <c r="B202" s="20"/>
      <c r="C202" s="30"/>
      <c r="D202" s="30"/>
    </row>
    <row r="203" spans="1:4" ht="20.149999999999999" x14ac:dyDescent="0.4">
      <c r="A203" s="100"/>
      <c r="B203" s="20"/>
      <c r="C203" s="30"/>
      <c r="D203" s="30"/>
    </row>
    <row r="204" spans="1:4" ht="20.149999999999999" x14ac:dyDescent="0.4">
      <c r="A204" s="100"/>
      <c r="B204" s="20"/>
      <c r="C204" s="30"/>
      <c r="D204" s="30"/>
    </row>
    <row r="205" spans="1:4" ht="20.149999999999999" x14ac:dyDescent="0.4">
      <c r="A205" s="100"/>
      <c r="B205" s="20"/>
      <c r="C205" s="30"/>
      <c r="D205" s="30"/>
    </row>
    <row r="206" spans="1:4" ht="20.149999999999999" x14ac:dyDescent="0.4">
      <c r="A206" s="100"/>
      <c r="B206" s="20"/>
      <c r="C206" s="30"/>
      <c r="D206" s="30"/>
    </row>
    <row r="207" spans="1:4" ht="20.149999999999999" x14ac:dyDescent="0.4">
      <c r="A207" s="100"/>
      <c r="B207" s="20"/>
      <c r="C207" s="30"/>
      <c r="D207" s="30"/>
    </row>
    <row r="208" spans="1:4" x14ac:dyDescent="0.4">
      <c r="A208" s="80"/>
      <c r="B208" s="20"/>
      <c r="C208" s="20"/>
      <c r="D208" s="20"/>
    </row>
    <row r="209" spans="1:8" ht="20.149999999999999" x14ac:dyDescent="0.4">
      <c r="A209" s="80"/>
      <c r="B209" s="26" t="s">
        <v>87</v>
      </c>
      <c r="C209" s="26" t="s">
        <v>144</v>
      </c>
      <c r="D209" s="29" t="s">
        <v>87</v>
      </c>
      <c r="E209" s="29" t="s">
        <v>144</v>
      </c>
    </row>
    <row r="210" spans="1:8" ht="20.6" x14ac:dyDescent="0.55000000000000004">
      <c r="A210" s="80"/>
      <c r="B210" s="27" t="s">
        <v>89</v>
      </c>
      <c r="C210" s="27" t="s">
        <v>57</v>
      </c>
      <c r="D210" t="s">
        <v>89</v>
      </c>
      <c r="F210" t="str">
        <f>IF(NOT(ISBLANK(D210)),D210,IF(NOT(ISBLANK(E210)),"     "&amp;E210,FALSE))</f>
        <v>Afectación Económica o presupuestal</v>
      </c>
      <c r="G210" t="s">
        <v>89</v>
      </c>
      <c r="H210" t="str">
        <f ca="1">IF(NOT(ISERROR(MATCH(G210,_xlfn.ANCHORARRAY(B221),0))),F223&amp;"Por favor no seleccionar los criterios de impacto",G210)</f>
        <v>Afectación Económica o presupuestal</v>
      </c>
    </row>
    <row r="211" spans="1:8" ht="20.6" x14ac:dyDescent="0.55000000000000004">
      <c r="A211" s="80"/>
      <c r="B211" s="27" t="s">
        <v>89</v>
      </c>
      <c r="C211" s="27" t="s">
        <v>92</v>
      </c>
      <c r="E211" t="s">
        <v>57</v>
      </c>
      <c r="F211" t="str">
        <f t="shared" ref="F211:F221" si="0">IF(NOT(ISBLANK(D211)),D211,IF(NOT(ISBLANK(E211)),"     "&amp;E211,FALSE))</f>
        <v xml:space="preserve">     Afectación menor a 10 SMLMV .</v>
      </c>
    </row>
    <row r="212" spans="1:8" ht="20.6" x14ac:dyDescent="0.55000000000000004">
      <c r="A212" s="80"/>
      <c r="B212" s="27" t="s">
        <v>89</v>
      </c>
      <c r="C212" s="27" t="s">
        <v>93</v>
      </c>
      <c r="E212" t="s">
        <v>92</v>
      </c>
      <c r="F212" t="str">
        <f t="shared" si="0"/>
        <v xml:space="preserve">     Entre 10 y 50 SMLMV </v>
      </c>
    </row>
    <row r="213" spans="1:8" ht="20.6" x14ac:dyDescent="0.55000000000000004">
      <c r="A213" s="80"/>
      <c r="B213" s="27" t="s">
        <v>89</v>
      </c>
      <c r="C213" s="27" t="s">
        <v>94</v>
      </c>
      <c r="E213" t="s">
        <v>93</v>
      </c>
      <c r="F213" t="str">
        <f t="shared" si="0"/>
        <v xml:space="preserve">     Entre 50 y 100 SMLMV </v>
      </c>
    </row>
    <row r="214" spans="1:8" ht="20.6" x14ac:dyDescent="0.55000000000000004">
      <c r="A214" s="80"/>
      <c r="B214" s="27" t="s">
        <v>89</v>
      </c>
      <c r="C214" s="27" t="s">
        <v>95</v>
      </c>
      <c r="E214" t="s">
        <v>94</v>
      </c>
      <c r="F214" t="str">
        <f t="shared" si="0"/>
        <v xml:space="preserve">     Entre 100 y 500 SMLMV </v>
      </c>
    </row>
    <row r="215" spans="1:8" ht="20.6" x14ac:dyDescent="0.55000000000000004">
      <c r="A215" s="80"/>
      <c r="B215" s="27" t="s">
        <v>56</v>
      </c>
      <c r="C215" s="27" t="s">
        <v>96</v>
      </c>
      <c r="E215" t="s">
        <v>95</v>
      </c>
      <c r="F215" t="str">
        <f t="shared" si="0"/>
        <v xml:space="preserve">     Mayor a 500 SMLMV </v>
      </c>
    </row>
    <row r="216" spans="1:8" ht="20.6" x14ac:dyDescent="0.55000000000000004">
      <c r="A216" s="80"/>
      <c r="B216" s="27" t="s">
        <v>56</v>
      </c>
      <c r="C216" s="27" t="s">
        <v>97</v>
      </c>
      <c r="D216" t="s">
        <v>56</v>
      </c>
      <c r="F216" t="str">
        <f t="shared" si="0"/>
        <v>Pérdida Reputacional</v>
      </c>
    </row>
    <row r="217" spans="1:8" ht="20.6" x14ac:dyDescent="0.55000000000000004">
      <c r="A217" s="80"/>
      <c r="B217" s="27" t="s">
        <v>56</v>
      </c>
      <c r="C217" s="27" t="s">
        <v>99</v>
      </c>
      <c r="E217" t="s">
        <v>96</v>
      </c>
      <c r="F217" t="str">
        <f t="shared" si="0"/>
        <v xml:space="preserve">     El riesgo afecta la imagen de alguna área de la organización</v>
      </c>
    </row>
    <row r="218" spans="1:8" ht="20.6" x14ac:dyDescent="0.55000000000000004">
      <c r="A218" s="80"/>
      <c r="B218" s="27" t="s">
        <v>56</v>
      </c>
      <c r="C218" s="27" t="s">
        <v>98</v>
      </c>
      <c r="E218" t="s">
        <v>97</v>
      </c>
      <c r="F218" t="str">
        <f t="shared" si="0"/>
        <v xml:space="preserve">     El riesgo afecta la imagen de la entidad internamente, de conocimiento general, nivel interno, de junta dircetiva y accionistas y/o de provedores</v>
      </c>
    </row>
    <row r="219" spans="1:8" ht="20.6" x14ac:dyDescent="0.55000000000000004">
      <c r="A219" s="80"/>
      <c r="B219" s="27" t="s">
        <v>56</v>
      </c>
      <c r="C219" s="27" t="s">
        <v>117</v>
      </c>
      <c r="E219" t="s">
        <v>99</v>
      </c>
      <c r="F219" t="str">
        <f t="shared" si="0"/>
        <v xml:space="preserve">     El riesgo afecta la imagen de la entidad con algunos usuarios de relevancia frente al logro de los objetivos</v>
      </c>
    </row>
    <row r="220" spans="1:8" x14ac:dyDescent="0.4">
      <c r="A220" s="80"/>
      <c r="B220" s="28"/>
      <c r="C220" s="28"/>
      <c r="E220" t="s">
        <v>98</v>
      </c>
      <c r="F220" t="str">
        <f t="shared" si="0"/>
        <v xml:space="preserve">     El riesgo afecta la imagen de de la entidad con efecto publicitario sostenido a nivel de sector administrativo, nivel departamental o municipal</v>
      </c>
    </row>
    <row r="221" spans="1:8" x14ac:dyDescent="0.4">
      <c r="A221" s="80"/>
      <c r="B221" s="28" t="e" cm="1">
        <f t="array" aca="1" ref="B221:B223" ca="1">_xlfn.UNIQUE(Tabla1[[#All],[Criterios]])</f>
        <v>#NAME?</v>
      </c>
      <c r="C221" s="28"/>
      <c r="E221" t="s">
        <v>117</v>
      </c>
      <c r="F221" t="str">
        <f t="shared" si="0"/>
        <v xml:space="preserve">     El riesgo afecta la imagen de la entidad a nivel nacional, con efecto publicitarios sostenible a nivel país</v>
      </c>
    </row>
    <row r="222" spans="1:8" x14ac:dyDescent="0.4">
      <c r="A222" s="80"/>
      <c r="B222" s="28" t="e">
        <f ca="1"/>
        <v>#NAME?</v>
      </c>
      <c r="C222" s="28"/>
    </row>
    <row r="223" spans="1:8" x14ac:dyDescent="0.4">
      <c r="B223" s="28" t="e">
        <f ca="1"/>
        <v>#NAME?</v>
      </c>
      <c r="C223" s="28"/>
      <c r="F223" s="31" t="s">
        <v>146</v>
      </c>
    </row>
    <row r="224" spans="1:8" x14ac:dyDescent="0.4">
      <c r="B224" s="19"/>
      <c r="C224" s="19"/>
      <c r="F224" s="31" t="s">
        <v>147</v>
      </c>
    </row>
    <row r="225" spans="2:4" x14ac:dyDescent="0.4">
      <c r="B225" s="19"/>
      <c r="C225" s="19"/>
    </row>
    <row r="226" spans="2:4" x14ac:dyDescent="0.4">
      <c r="B226" s="19"/>
      <c r="C226" s="19"/>
    </row>
    <row r="227" spans="2:4" x14ac:dyDescent="0.4">
      <c r="B227" s="19"/>
      <c r="C227" s="19"/>
      <c r="D227" s="19"/>
    </row>
    <row r="228" spans="2:4" x14ac:dyDescent="0.4">
      <c r="B228" s="19"/>
      <c r="C228" s="19"/>
      <c r="D228" s="19"/>
    </row>
    <row r="229" spans="2:4" x14ac:dyDescent="0.4">
      <c r="B229" s="19"/>
      <c r="C229" s="19"/>
      <c r="D229" s="19"/>
    </row>
    <row r="230" spans="2:4" x14ac:dyDescent="0.4">
      <c r="B230" s="19"/>
      <c r="C230" s="19"/>
      <c r="D230" s="19"/>
    </row>
    <row r="231" spans="2:4" x14ac:dyDescent="0.4">
      <c r="B231" s="19"/>
      <c r="C231" s="19"/>
      <c r="D231" s="19"/>
    </row>
    <row r="232" spans="2:4" x14ac:dyDescent="0.4">
      <c r="B232" s="19"/>
      <c r="C232" s="19"/>
      <c r="D232" s="19"/>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workbookViewId="0"/>
  </sheetViews>
  <sheetFormatPr baseColWidth="10" defaultColWidth="14.3046875" defaultRowHeight="12.9" x14ac:dyDescent="0.35"/>
  <cols>
    <col min="1" max="2" width="14.3046875" style="85"/>
    <col min="3" max="3" width="17" style="85" customWidth="1"/>
    <col min="4" max="4" width="14.3046875" style="85"/>
    <col min="5" max="5" width="46" style="85" customWidth="1"/>
    <col min="6" max="16384" width="14.3046875" style="85"/>
  </cols>
  <sheetData>
    <row r="1" spans="2:6" ht="24" customHeight="1" thickBot="1" x14ac:dyDescent="0.4">
      <c r="B1" s="351" t="s">
        <v>77</v>
      </c>
      <c r="C1" s="352"/>
      <c r="D1" s="352"/>
      <c r="E1" s="352"/>
      <c r="F1" s="353"/>
    </row>
    <row r="2" spans="2:6" ht="16.3" thickBot="1" x14ac:dyDescent="0.5">
      <c r="B2" s="86"/>
      <c r="C2" s="86"/>
      <c r="D2" s="86"/>
      <c r="E2" s="86"/>
      <c r="F2" s="86"/>
    </row>
    <row r="3" spans="2:6" ht="15.9" thickBot="1" x14ac:dyDescent="0.4">
      <c r="B3" s="355" t="s">
        <v>63</v>
      </c>
      <c r="C3" s="356"/>
      <c r="D3" s="356"/>
      <c r="E3" s="98" t="s">
        <v>64</v>
      </c>
      <c r="F3" s="99" t="s">
        <v>65</v>
      </c>
    </row>
    <row r="4" spans="2:6" ht="30.9" x14ac:dyDescent="0.35">
      <c r="B4" s="357" t="s">
        <v>66</v>
      </c>
      <c r="C4" s="359" t="s">
        <v>13</v>
      </c>
      <c r="D4" s="87" t="s">
        <v>14</v>
      </c>
      <c r="E4" s="88" t="s">
        <v>67</v>
      </c>
      <c r="F4" s="89">
        <v>0.25</v>
      </c>
    </row>
    <row r="5" spans="2:6" ht="46.3" x14ac:dyDescent="0.35">
      <c r="B5" s="358"/>
      <c r="C5" s="360"/>
      <c r="D5" s="90" t="s">
        <v>15</v>
      </c>
      <c r="E5" s="91" t="s">
        <v>68</v>
      </c>
      <c r="F5" s="92">
        <v>0.15</v>
      </c>
    </row>
    <row r="6" spans="2:6" ht="46.3" x14ac:dyDescent="0.35">
      <c r="B6" s="358"/>
      <c r="C6" s="360"/>
      <c r="D6" s="90" t="s">
        <v>16</v>
      </c>
      <c r="E6" s="91" t="s">
        <v>69</v>
      </c>
      <c r="F6" s="92">
        <v>0.1</v>
      </c>
    </row>
    <row r="7" spans="2:6" ht="61.75" x14ac:dyDescent="0.35">
      <c r="B7" s="358"/>
      <c r="C7" s="360" t="s">
        <v>17</v>
      </c>
      <c r="D7" s="90" t="s">
        <v>10</v>
      </c>
      <c r="E7" s="91" t="s">
        <v>70</v>
      </c>
      <c r="F7" s="92">
        <v>0.25</v>
      </c>
    </row>
    <row r="8" spans="2:6" ht="30.9" x14ac:dyDescent="0.35">
      <c r="B8" s="358"/>
      <c r="C8" s="360"/>
      <c r="D8" s="90" t="s">
        <v>9</v>
      </c>
      <c r="E8" s="91" t="s">
        <v>71</v>
      </c>
      <c r="F8" s="92">
        <v>0.15</v>
      </c>
    </row>
    <row r="9" spans="2:6" ht="46.3" x14ac:dyDescent="0.35">
      <c r="B9" s="358" t="s">
        <v>161</v>
      </c>
      <c r="C9" s="360" t="s">
        <v>18</v>
      </c>
      <c r="D9" s="90" t="s">
        <v>19</v>
      </c>
      <c r="E9" s="91" t="s">
        <v>72</v>
      </c>
      <c r="F9" s="93" t="s">
        <v>73</v>
      </c>
    </row>
    <row r="10" spans="2:6" ht="46.3" x14ac:dyDescent="0.35">
      <c r="B10" s="358"/>
      <c r="C10" s="360"/>
      <c r="D10" s="90" t="s">
        <v>20</v>
      </c>
      <c r="E10" s="91" t="s">
        <v>74</v>
      </c>
      <c r="F10" s="93" t="s">
        <v>73</v>
      </c>
    </row>
    <row r="11" spans="2:6" ht="30.9" x14ac:dyDescent="0.35">
      <c r="B11" s="358"/>
      <c r="C11" s="360" t="s">
        <v>21</v>
      </c>
      <c r="D11" s="90" t="s">
        <v>22</v>
      </c>
      <c r="E11" s="91" t="s">
        <v>75</v>
      </c>
      <c r="F11" s="93" t="s">
        <v>73</v>
      </c>
    </row>
    <row r="12" spans="2:6" ht="46.3" x14ac:dyDescent="0.35">
      <c r="B12" s="358"/>
      <c r="C12" s="360"/>
      <c r="D12" s="90" t="s">
        <v>23</v>
      </c>
      <c r="E12" s="91" t="s">
        <v>76</v>
      </c>
      <c r="F12" s="93" t="s">
        <v>73</v>
      </c>
    </row>
    <row r="13" spans="2:6" ht="30.9" x14ac:dyDescent="0.35">
      <c r="B13" s="358"/>
      <c r="C13" s="360" t="s">
        <v>24</v>
      </c>
      <c r="D13" s="90" t="s">
        <v>118</v>
      </c>
      <c r="E13" s="91" t="s">
        <v>121</v>
      </c>
      <c r="F13" s="93" t="s">
        <v>73</v>
      </c>
    </row>
    <row r="14" spans="2:6" ht="15.9" thickBot="1" x14ac:dyDescent="0.4">
      <c r="B14" s="361"/>
      <c r="C14" s="362"/>
      <c r="D14" s="94" t="s">
        <v>119</v>
      </c>
      <c r="E14" s="95" t="s">
        <v>120</v>
      </c>
      <c r="F14" s="96" t="s">
        <v>73</v>
      </c>
    </row>
    <row r="15" spans="2:6" ht="49.5" customHeight="1" x14ac:dyDescent="0.35">
      <c r="B15" s="354" t="s">
        <v>158</v>
      </c>
      <c r="C15" s="354"/>
      <c r="D15" s="354"/>
      <c r="E15" s="354"/>
      <c r="F15" s="354"/>
    </row>
    <row r="16" spans="2:6" ht="27" customHeight="1" x14ac:dyDescent="0.35">
      <c r="B16" s="9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4.6" x14ac:dyDescent="0.4"/>
  <sheetData>
    <row r="2" spans="2:5" x14ac:dyDescent="0.4">
      <c r="B2" t="s">
        <v>31</v>
      </c>
      <c r="E2" t="s">
        <v>132</v>
      </c>
    </row>
    <row r="3" spans="2:5" x14ac:dyDescent="0.4">
      <c r="B3" t="s">
        <v>32</v>
      </c>
      <c r="E3" t="s">
        <v>131</v>
      </c>
    </row>
    <row r="4" spans="2:5" x14ac:dyDescent="0.4">
      <c r="B4" t="s">
        <v>136</v>
      </c>
      <c r="E4" t="s">
        <v>133</v>
      </c>
    </row>
    <row r="5" spans="2:5" x14ac:dyDescent="0.4">
      <c r="B5" t="s">
        <v>135</v>
      </c>
    </row>
    <row r="8" spans="2:5" x14ac:dyDescent="0.4">
      <c r="B8" t="s">
        <v>85</v>
      </c>
    </row>
    <row r="9" spans="2:5" x14ac:dyDescent="0.4">
      <c r="B9" t="s">
        <v>39</v>
      </c>
    </row>
    <row r="10" spans="2:5" x14ac:dyDescent="0.4">
      <c r="B10" t="s">
        <v>40</v>
      </c>
    </row>
    <row r="13" spans="2:5" x14ac:dyDescent="0.4">
      <c r="B13" t="s">
        <v>128</v>
      </c>
    </row>
    <row r="14" spans="2:5" x14ac:dyDescent="0.4">
      <c r="B14" t="s">
        <v>122</v>
      </c>
    </row>
    <row r="15" spans="2:5" x14ac:dyDescent="0.4">
      <c r="B15" t="s">
        <v>125</v>
      </c>
    </row>
    <row r="16" spans="2:5" x14ac:dyDescent="0.4">
      <c r="B16" t="s">
        <v>123</v>
      </c>
    </row>
    <row r="17" spans="2:2" x14ac:dyDescent="0.4">
      <c r="B17" t="s">
        <v>124</v>
      </c>
    </row>
    <row r="18" spans="2:2" x14ac:dyDescent="0.4">
      <c r="B18" t="s">
        <v>126</v>
      </c>
    </row>
    <row r="19" spans="2:2" x14ac:dyDescent="0.4">
      <c r="B19" t="s">
        <v>127</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3828125" defaultRowHeight="12.9" x14ac:dyDescent="0.35"/>
  <cols>
    <col min="1" max="1" width="32.84375" style="6" customWidth="1"/>
    <col min="2" max="16384" width="11.3828125" style="6"/>
  </cols>
  <sheetData>
    <row r="3" spans="1:1" x14ac:dyDescent="0.35">
      <c r="A3" s="7" t="s">
        <v>14</v>
      </c>
    </row>
    <row r="4" spans="1:1" x14ac:dyDescent="0.35">
      <c r="A4" s="7" t="s">
        <v>15</v>
      </c>
    </row>
    <row r="5" spans="1:1" x14ac:dyDescent="0.35">
      <c r="A5" s="7" t="s">
        <v>16</v>
      </c>
    </row>
    <row r="6" spans="1:1" x14ac:dyDescent="0.35">
      <c r="A6" s="7" t="s">
        <v>10</v>
      </c>
    </row>
    <row r="7" spans="1:1" x14ac:dyDescent="0.35">
      <c r="A7" s="7" t="s">
        <v>9</v>
      </c>
    </row>
    <row r="8" spans="1:1" x14ac:dyDescent="0.35">
      <c r="A8" s="7" t="s">
        <v>19</v>
      </c>
    </row>
    <row r="9" spans="1:1" x14ac:dyDescent="0.35">
      <c r="A9" s="7" t="s">
        <v>20</v>
      </c>
    </row>
    <row r="10" spans="1:1" x14ac:dyDescent="0.35">
      <c r="A10" s="7" t="s">
        <v>22</v>
      </c>
    </row>
    <row r="11" spans="1:1" x14ac:dyDescent="0.35">
      <c r="A11" s="7" t="s">
        <v>23</v>
      </c>
    </row>
    <row r="12" spans="1:1" x14ac:dyDescent="0.35">
      <c r="A12" s="7" t="s">
        <v>25</v>
      </c>
    </row>
    <row r="13" spans="1:1" x14ac:dyDescent="0.35">
      <c r="A13" s="7" t="s">
        <v>26</v>
      </c>
    </row>
    <row r="14" spans="1:1" x14ac:dyDescent="0.35">
      <c r="A14" s="7" t="s">
        <v>27</v>
      </c>
    </row>
    <row r="16" spans="1:1" x14ac:dyDescent="0.35">
      <c r="A16" s="7" t="s">
        <v>30</v>
      </c>
    </row>
    <row r="17" spans="1:1" x14ac:dyDescent="0.35">
      <c r="A17" s="7" t="s">
        <v>31</v>
      </c>
    </row>
    <row r="18" spans="1:1" x14ac:dyDescent="0.35">
      <c r="A18" s="7" t="s">
        <v>32</v>
      </c>
    </row>
    <row r="20" spans="1:1" x14ac:dyDescent="0.35">
      <c r="A20" s="7" t="s">
        <v>39</v>
      </c>
    </row>
    <row r="21" spans="1:1" x14ac:dyDescent="0.35">
      <c r="A21" s="7"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Quality Consultoría y Capacitación E.U</cp:lastModifiedBy>
  <cp:lastPrinted>2020-05-13T01:12:22Z</cp:lastPrinted>
  <dcterms:created xsi:type="dcterms:W3CDTF">2020-03-24T23:12:47Z</dcterms:created>
  <dcterms:modified xsi:type="dcterms:W3CDTF">2023-09-04T22:49:24Z</dcterms:modified>
</cp:coreProperties>
</file>